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trlProps/ctrlProp6.xml" ContentType="application/vnd.ms-excel.control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9 BAU- UND WOHNUNGSWESEN\Eigentümertypen der Gebäude\"/>
    </mc:Choice>
  </mc:AlternateContent>
  <workbookProtection lockStructure="1"/>
  <bookViews>
    <workbookView xWindow="14505" yWindow="45" windowWidth="14310" windowHeight="14640"/>
  </bookViews>
  <sheets>
    <sheet name="Übersicht GR_CH" sheetId="1" r:id="rId1"/>
    <sheet name="Eigentümteryp" sheetId="3" r:id="rId2"/>
    <sheet name="Wirtschaftszweige" sheetId="4" r:id="rId3"/>
    <sheet name="Rechtsform" sheetId="5" r:id="rId4"/>
    <sheet name="Eigentümertyp Stadt Chur" sheetId="7" r:id="rId5"/>
    <sheet name="Uebersetzungen" sheetId="2" state="hidden" r:id="rId6"/>
  </sheets>
  <calcPr calcId="162913"/>
</workbook>
</file>

<file path=xl/calcChain.xml><?xml version="1.0" encoding="utf-8"?>
<calcChain xmlns="http://schemas.openxmlformats.org/spreadsheetml/2006/main">
  <c r="A15" i="7" l="1"/>
  <c r="A13" i="7"/>
  <c r="A9" i="7"/>
  <c r="A29" i="7"/>
  <c r="A28" i="7"/>
  <c r="A26" i="7"/>
  <c r="A25" i="7"/>
  <c r="A24" i="7"/>
  <c r="A23" i="7"/>
  <c r="A21" i="7"/>
  <c r="A19" i="7"/>
  <c r="A18" i="7"/>
  <c r="A17" i="7"/>
  <c r="A16" i="7"/>
  <c r="G13" i="7"/>
  <c r="F13" i="7"/>
  <c r="E13" i="7"/>
  <c r="D13" i="7"/>
  <c r="C13" i="7"/>
  <c r="C12" i="7"/>
  <c r="B12" i="7"/>
  <c r="A7" i="7"/>
  <c r="A9" i="5"/>
  <c r="A51" i="5"/>
  <c r="N15" i="5"/>
  <c r="M15" i="5"/>
  <c r="L15" i="5"/>
  <c r="K15" i="5"/>
  <c r="J15" i="5"/>
  <c r="I15" i="5"/>
  <c r="H15" i="5"/>
  <c r="G15" i="5"/>
  <c r="F15" i="5"/>
  <c r="E15" i="5"/>
  <c r="E14" i="5"/>
  <c r="D14" i="5"/>
  <c r="A54" i="5"/>
  <c r="A53" i="5"/>
  <c r="A50" i="5"/>
  <c r="A49" i="5"/>
  <c r="A48" i="5"/>
  <c r="A47" i="5"/>
  <c r="A46" i="5"/>
  <c r="A44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S15" i="5"/>
  <c r="R15" i="5"/>
  <c r="Q15" i="5"/>
  <c r="P15" i="5"/>
  <c r="P14" i="5"/>
  <c r="O14" i="5"/>
  <c r="U13" i="5"/>
  <c r="T13" i="5"/>
  <c r="O13" i="5"/>
  <c r="D13" i="5"/>
  <c r="C13" i="5"/>
  <c r="C12" i="5"/>
  <c r="B12" i="5"/>
  <c r="A7" i="5"/>
  <c r="A9" i="4"/>
  <c r="T15" i="4"/>
  <c r="S15" i="4"/>
  <c r="R15" i="4"/>
  <c r="Q15" i="4"/>
  <c r="Q14" i="4"/>
  <c r="E14" i="4"/>
  <c r="E15" i="4"/>
  <c r="P14" i="4"/>
  <c r="O15" i="4"/>
  <c r="N15" i="4"/>
  <c r="M15" i="4"/>
  <c r="L15" i="4"/>
  <c r="K15" i="4"/>
  <c r="J15" i="4"/>
  <c r="I15" i="4"/>
  <c r="H15" i="4"/>
  <c r="G15" i="4"/>
  <c r="F15" i="4"/>
  <c r="D14" i="4"/>
  <c r="D13" i="4"/>
  <c r="A51" i="4"/>
  <c r="A54" i="4"/>
  <c r="A53" i="4"/>
  <c r="A50" i="4"/>
  <c r="A49" i="4"/>
  <c r="A48" i="4"/>
  <c r="A47" i="4"/>
  <c r="A46" i="4"/>
  <c r="A44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V13" i="4"/>
  <c r="U13" i="4"/>
  <c r="P13" i="4"/>
  <c r="C13" i="4"/>
  <c r="C12" i="4"/>
  <c r="B12" i="4"/>
  <c r="A7" i="4"/>
  <c r="A9" i="3"/>
  <c r="A37" i="3"/>
  <c r="A35" i="3"/>
  <c r="A41" i="3"/>
  <c r="A40" i="3"/>
  <c r="A39" i="3"/>
  <c r="A38" i="3"/>
  <c r="A36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52" i="3" l="1"/>
  <c r="A51" i="3"/>
  <c r="A49" i="3"/>
  <c r="A48" i="3"/>
  <c r="A47" i="3"/>
  <c r="A46" i="3"/>
  <c r="A45" i="3"/>
  <c r="A43" i="3"/>
  <c r="G13" i="3"/>
  <c r="F13" i="3"/>
  <c r="E13" i="3"/>
  <c r="D13" i="3"/>
  <c r="C13" i="3"/>
  <c r="C12" i="3"/>
  <c r="B12" i="3"/>
  <c r="A7" i="3"/>
  <c r="A44" i="1"/>
  <c r="A42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G42" i="1"/>
  <c r="F42" i="1"/>
  <c r="E42" i="1"/>
  <c r="D42" i="1"/>
  <c r="C42" i="1"/>
  <c r="C41" i="1"/>
  <c r="B41" i="1"/>
  <c r="A15" i="1"/>
  <c r="A13" i="1"/>
  <c r="G13" i="1"/>
  <c r="F13" i="1"/>
  <c r="E13" i="1"/>
  <c r="D13" i="1"/>
  <c r="C13" i="1"/>
  <c r="C12" i="1"/>
  <c r="B12" i="1"/>
  <c r="A75" i="1"/>
  <c r="A74" i="1"/>
  <c r="A73" i="1"/>
  <c r="A72" i="1"/>
  <c r="A71" i="1"/>
  <c r="A78" i="1" l="1"/>
  <c r="A77" i="1"/>
  <c r="A69" i="1"/>
  <c r="A38" i="1"/>
  <c r="A37" i="1"/>
  <c r="A36" i="1"/>
  <c r="A35" i="1"/>
  <c r="A34" i="1"/>
  <c r="A33" i="1"/>
  <c r="A32" i="1"/>
  <c r="A25" i="1"/>
  <c r="A26" i="1"/>
  <c r="A27" i="1"/>
  <c r="A28" i="1"/>
  <c r="A29" i="1"/>
  <c r="A30" i="1"/>
  <c r="A31" i="1"/>
  <c r="A24" i="1"/>
  <c r="A23" i="1"/>
  <c r="A22" i="1"/>
  <c r="A21" i="1"/>
  <c r="A20" i="1"/>
  <c r="A19" i="1"/>
  <c r="A18" i="1"/>
  <c r="A17" i="1"/>
  <c r="A16" i="1"/>
  <c r="A9" i="1" l="1"/>
  <c r="A7" i="1" l="1"/>
</calcChain>
</file>

<file path=xl/sharedStrings.xml><?xml version="1.0" encoding="utf-8"?>
<sst xmlns="http://schemas.openxmlformats.org/spreadsheetml/2006/main" count="477" uniqueCount="415">
  <si>
    <t>Total</t>
  </si>
  <si>
    <t>Bauperiode</t>
  </si>
  <si>
    <t>Reine Wohngebäude</t>
  </si>
  <si>
    <t>Wohngebäude mit Nebennutzung</t>
  </si>
  <si>
    <t>Gebäude mit teilweiser Wohnnutzung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</si>
  <si>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</si>
  <si>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</si>
  <si>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</si>
  <si>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</si>
  <si>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</si>
  <si>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</si>
  <si>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</si>
  <si>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</si>
  <si>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Geschosszahl</t>
  </si>
  <si>
    <t>4-5</t>
  </si>
  <si>
    <t>6-7</t>
  </si>
  <si>
    <t>8+</t>
  </si>
  <si>
    <t>Quelle: BFS (Gebäude- und Wohnungsstatistik)</t>
  </si>
  <si>
    <t>2006-2010 erbaut</t>
  </si>
  <si>
    <t>* Entfällt, weil trivial oder Begriffe nicht anwendbar</t>
  </si>
  <si>
    <t>2011-2015 erbaut</t>
  </si>
  <si>
    <t>Andere</t>
  </si>
  <si>
    <t>Eigentümertyp</t>
  </si>
  <si>
    <t>Natürliche Person(en)</t>
  </si>
  <si>
    <t>Juristische Person</t>
  </si>
  <si>
    <t>2016-2022 erbaut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</si>
  <si>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</si>
  <si>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</si>
  <si>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</si>
  <si>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</si>
  <si>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</si>
  <si>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</si>
  <si>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</si>
  <si>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</si>
  <si>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</si>
  <si>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</si>
  <si>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</si>
  <si>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</si>
  <si>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</si>
  <si>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</si>
  <si>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</si>
  <si>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Totale</t>
  </si>
  <si>
    <t>&lt;SpaltenTitel_2&gt;</t>
  </si>
  <si>
    <t>&lt;SpaltenTitel_3&gt;</t>
  </si>
  <si>
    <t>&lt;SpaltenTitel_1.1&gt;</t>
  </si>
  <si>
    <t>&lt;SpaltenTitel_1.2&gt;</t>
  </si>
  <si>
    <t>&lt;Zeilentitel_1&gt;</t>
  </si>
  <si>
    <t>&lt;Zeilentitel_2&gt;</t>
  </si>
  <si>
    <t>&lt;Zeilentitel_3&gt;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</si>
  <si>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</si>
  <si>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</si>
  <si>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</si>
  <si>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</si>
  <si>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</si>
  <si>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</si>
  <si>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&lt;SpaltenTitel_4&gt;</t>
  </si>
  <si>
    <t>&lt;SpaltenTitel_1.3&gt;</t>
  </si>
  <si>
    <t>&lt;SpaltenTitel_1.4&gt;</t>
  </si>
  <si>
    <t>&lt;Zeilentitel_1.1&gt;</t>
  </si>
  <si>
    <t>&lt;Zeilentitel_1.2&gt;</t>
  </si>
  <si>
    <t>&lt;Zeilentitel_1.3&gt;</t>
  </si>
  <si>
    <t>&lt;Zeilentitel_1.4&gt;</t>
  </si>
  <si>
    <t>&lt;Zeilentitel_1.5&gt;</t>
  </si>
  <si>
    <t>&lt;Zeilentitel_2.1&gt;</t>
  </si>
  <si>
    <t>&lt;Zeilentitel_2.2&gt;</t>
  </si>
  <si>
    <t>&lt;Zeilentitel_2.3&gt;</t>
  </si>
  <si>
    <t>&lt;Zeilentitel_2.4&gt;</t>
  </si>
  <si>
    <t>&lt;Zeilentitel_2.5&gt;</t>
  </si>
  <si>
    <t>&lt;Zeilentitel_2.6&gt;</t>
  </si>
  <si>
    <t>&lt;Zeilentitel_2.7&gt;</t>
  </si>
  <si>
    <t>&lt;Zeilentitel_2.8&gt;</t>
  </si>
  <si>
    <t>&lt;Zeilentitel_2.9&gt;</t>
  </si>
  <si>
    <t>&lt;Zeilentitel_2.10&gt;</t>
  </si>
  <si>
    <t>&lt;Zeilentitel_2.11&gt;</t>
  </si>
  <si>
    <t>&lt;Zeilentitel_3.1&gt;</t>
  </si>
  <si>
    <t>&lt;Zeilentitel_3.2&gt;</t>
  </si>
  <si>
    <t>&lt;Zeilentitel_3.3&gt;</t>
  </si>
  <si>
    <t>&lt;Zeilentitel_3.4&gt;</t>
  </si>
  <si>
    <t>&lt;Zeilentitel_3.5&gt;</t>
  </si>
  <si>
    <t>&lt;Zeilentitel_3.6&gt;</t>
  </si>
  <si>
    <t>&lt;Legende_5&gt;</t>
  </si>
  <si>
    <t>&lt;Legende_6&gt;</t>
  </si>
  <si>
    <t>Edifici ad uso unicamente abitativo</t>
  </si>
  <si>
    <t>Edifici con utilizzazione accessoria</t>
  </si>
  <si>
    <t>Edifici ad uso parzialmente abitativo</t>
  </si>
  <si>
    <t>Epoca di costruzione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</si>
  <si>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</si>
  <si>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</si>
  <si>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</si>
  <si>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</si>
  <si>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</si>
  <si>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</si>
  <si>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</si>
  <si>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</si>
  <si>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Costruiti tra il 2006 e il 2010</t>
  </si>
  <si>
    <t>Costruiti tra il 2011 e il 2015</t>
  </si>
  <si>
    <t>Costruiti tra il 2016 e il 2022</t>
  </si>
  <si>
    <t>Numero di piani</t>
  </si>
  <si>
    <t>Privato/i</t>
  </si>
  <si>
    <t>Persona giuridica</t>
  </si>
  <si>
    <t>Tipo di proprietario</t>
  </si>
  <si>
    <t>* Dato omesso perché evidente o non pertinente</t>
  </si>
  <si>
    <t>Fonte: UST (Statistica degli edifici e delle abitazioni)</t>
  </si>
  <si>
    <t>Letztmals aktualisiert am: 14.03.2024</t>
  </si>
  <si>
    <t>Ultima actualisaziun: 14.03.2024</t>
  </si>
  <si>
    <t>Ultimo aggiornamento: 14.03.2024</t>
  </si>
  <si>
    <t>Perioda da construcziun</t>
  </si>
  <si>
    <t>Edifizis che utiliseschan per part l' abitaziun</t>
  </si>
  <si>
    <t>Edifizi d'abitar cun utilisaziun secundara</t>
  </si>
  <si>
    <t>Edifizis cun utilisaziun per intents d'abitar puras</t>
  </si>
  <si>
    <t>Construì avant il 1919</t>
  </si>
  <si>
    <t>Construì ils onns 1919-1945</t>
  </si>
  <si>
    <t>Construì ils onns 1946-1960</t>
  </si>
  <si>
    <t>Construì ils onns 1961-1970</t>
  </si>
  <si>
    <t>Construì ils onns 1971-1980</t>
  </si>
  <si>
    <t>Construì ils onns 1981-1990</t>
  </si>
  <si>
    <t>Construì ils onns 1991-2000</t>
  </si>
  <si>
    <t>Construì ils onns 2001-2005</t>
  </si>
  <si>
    <t>Construì ils onns 2006-2010</t>
  </si>
  <si>
    <t>Construì ils onns 2011-2015</t>
  </si>
  <si>
    <t>Construì ils onns 2016-2022</t>
  </si>
  <si>
    <t>Dumber da plauns</t>
  </si>
  <si>
    <t>Persuna natirala</t>
  </si>
  <si>
    <t>Tip da proprietari</t>
  </si>
  <si>
    <t>Persuna giuridica</t>
  </si>
  <si>
    <t>* Scroda, perquai che trivial u noziuns n'èn betg applitgablas</t>
  </si>
  <si>
    <t>Funtauna: UST (Statistica dals edifizis e da las abitaziuns)</t>
  </si>
  <si>
    <t>(1) Gemeinschaft: Form des kollektiven Eigentums, wobei jedes Mitglied im Besitz des gesamten Objekts ist. Zu den Gemeinschaften gehören einfache Gesellschaften, Erbengemeinschaften, Gütergemeinschaften und Gemeinderschaften.</t>
  </si>
  <si>
    <t>(1) Cuminanza: furma da la proprietad collectiva, da la quala mintga commember è en possess da l' entir object. Tar las cuminanzas tutgan societads simplas, cuminanzas d' ertavels, cuminanzas da bains e cuminanzas.</t>
  </si>
  <si>
    <t>(1) Comunità: forma di proprietà collettiva in cui il diritto di ogni membro si esercita sull’intero oggetto. Il termine «comunità» designa le società semplici, le quote di eredità, le comunità di beni e la proprietà indivisa.</t>
  </si>
  <si>
    <t>(2) Gemischt: Eigentümertyp, dem Gebäude zugeordnet werden, die mindestens zwei verschiedene Eigentümertypen aufweisen. Da die Anteile jedes Eigentümertyps nicht immer bekannt sind, kann das Gebäude keiner der beiden Kategorien eindeutig zugeordnet werden.</t>
  </si>
  <si>
    <t>(2) Maschedà: il tip dals proprietaris vegn attribuì a l'edifizi cun almain dus differents tips da proprietaris. Cunquai che las parts da mintga bain immobigliar n'èn betg adina enconuschentas, na po l'edifizi vegnir attribuì cleramain a naginas da las duas categorias.</t>
  </si>
  <si>
    <t xml:space="preserve">(2) Misto: forma di proprietà attribuita quando un edificio è di proprietà di due o più tipologie diverse di proprietario. Poiché le quote di ciascun proprietario non sono sempre note, non è possibile attribuire l’edificio all’una o all’altra categoria. </t>
  </si>
  <si>
    <t>(3) Unbekannt: Eigentümertyp, dem Gebäude zugeordnet werden, bei denen die Grundbücher keine Informationen zu den Eigentümern enthalten.</t>
  </si>
  <si>
    <t>(3) Nunenconuschent: il tip da proprietari vegn attribuì a l' edifizi, en il qual ils registers funsils na cuntegnan naginas infurmaziuns davart ils proprietaris.</t>
  </si>
  <si>
    <t>(3) Sconosciuto: forma di proprietà attribuita agli edifici per i quali i registri fondiari non hanno fornito alcuna informazione in merito ai proprietari.</t>
  </si>
  <si>
    <t>Gemeinschaft (1)</t>
  </si>
  <si>
    <t>Gemischt (2)</t>
  </si>
  <si>
    <t>Unbekannt (3)</t>
  </si>
  <si>
    <t>Cuminanza (1)</t>
  </si>
  <si>
    <t>Maschedà (2)</t>
  </si>
  <si>
    <t>Nunenconuschent (3)</t>
  </si>
  <si>
    <t>Comunità (1)</t>
  </si>
  <si>
    <t>Misto (2)</t>
  </si>
  <si>
    <t>Sconosciuto (3)</t>
  </si>
  <si>
    <t>Schweiz</t>
  </si>
  <si>
    <t>Graubünden</t>
  </si>
  <si>
    <t>Svizra</t>
  </si>
  <si>
    <t>Grischun</t>
  </si>
  <si>
    <t>Svizzera</t>
  </si>
  <si>
    <t>Grigioni</t>
  </si>
  <si>
    <t>(4) Die Kantone Zürich und Wallis sind nicht in der Statistik berücksichtigt, weil die Qualität ihrer aktuellen Daten bzw. die Verknüpfungsmöglichkeiten mit dem GWR noch nicht ausreichen.</t>
  </si>
  <si>
    <t>(4) I Cantoni di Zurigo e del Vallese non possono essere inclusi nella statistica perché la qualità dei loro dati attuali o le possibilità di collegarli con il REA non sono ancora</t>
  </si>
  <si>
    <t>Total (Schweiz ohne ZH und VS) (4)</t>
  </si>
  <si>
    <t xml:space="preserve">Total (Svizra senza VS e ZH) (4) </t>
  </si>
  <si>
    <t>(4) Ils chantuns Turitg e Vallais n' èn betg resguardads en la statistica, perquai che la qualitad da lur datas actualas resp. las pussaivladads da colliaziun cun il REA na bastan anc betg.</t>
  </si>
  <si>
    <t>Die Statistik der Eigentümertypen der Gebäude wird erstellt, indem die Informationen zu den Wohngebäuden aus dem eidgenössischen Gebäude- und Wohnungsregister (GWR) mit den Grundbuchdaten zu einem oder mehreren Eigentümern verknüpft werden.</t>
  </si>
  <si>
    <t>La statistica dei tipi di proprietari degli edifici è realizzata collegando i dati degli edifici residenziali figuranti nel registro federale degli edifici e delle abitazioni (REA) con i dati di uno o più proprietari raccolti presso i registri fondiari.</t>
  </si>
  <si>
    <t>La statistica dals tips da proprietaris dals edifizis vegn fatga cun colliar las infurmaziuns davart ils edifizis d'abitar or dal register federal dals edifizis e da las abitaziuns (REA) cun las datas dal register funsil ad in u plirs proprietaris.</t>
  </si>
  <si>
    <t>&lt;Zeilentitel_1.0&gt;</t>
  </si>
  <si>
    <t>%</t>
  </si>
  <si>
    <t>&lt;SpaltenTitel_1.5&gt;</t>
  </si>
  <si>
    <t>&lt;SpaltenTitel_1.6&gt;</t>
  </si>
  <si>
    <t>&lt;SpaltenTitel_1.7&gt;</t>
  </si>
  <si>
    <t>Einfamilienhäuser</t>
  </si>
  <si>
    <t>Mehrfamilienhäuser</t>
  </si>
  <si>
    <t>Chasas da pliras famiglias</t>
  </si>
  <si>
    <t>Chasas d'ina famiglia</t>
  </si>
  <si>
    <t>Case plurifamiliari</t>
  </si>
  <si>
    <t>Case unifamiliari</t>
  </si>
  <si>
    <t>Allgemeine Übersicht Gebäude nach Eigentümertyp im Kanton Graubünden und der Schweiz, 2022</t>
  </si>
  <si>
    <t>Survista generala edifizis tenor tip da proprietari en il chantun Grischun ed en Svizra, 2022</t>
  </si>
  <si>
    <t>T2</t>
  </si>
  <si>
    <t>&lt;T2Titel&gt;</t>
  </si>
  <si>
    <t>&lt;T2UTitel&gt;</t>
  </si>
  <si>
    <t>&lt;T2Zeilentitel_1&gt;</t>
  </si>
  <si>
    <t>Zürich</t>
  </si>
  <si>
    <t>Turitg</t>
  </si>
  <si>
    <t>Zurigo</t>
  </si>
  <si>
    <t>Bern</t>
  </si>
  <si>
    <t>Berna</t>
  </si>
  <si>
    <t>Luzern</t>
  </si>
  <si>
    <t>Lucerna</t>
  </si>
  <si>
    <t>Uri</t>
  </si>
  <si>
    <t>Schwyz</t>
  </si>
  <si>
    <t>Sviz</t>
  </si>
  <si>
    <t>Svitto</t>
  </si>
  <si>
    <t>Obwalden</t>
  </si>
  <si>
    <t>Sursilvania</t>
  </si>
  <si>
    <t>Obvaldo</t>
  </si>
  <si>
    <t>Nidwalden</t>
  </si>
  <si>
    <t>Sutsilvania</t>
  </si>
  <si>
    <t>Nidvaldo</t>
  </si>
  <si>
    <t>Glarus</t>
  </si>
  <si>
    <t>Glaruna</t>
  </si>
  <si>
    <t>Glarona</t>
  </si>
  <si>
    <t>Zug</t>
  </si>
  <si>
    <t>Zugo</t>
  </si>
  <si>
    <t>Freiburg</t>
  </si>
  <si>
    <t>Friburg</t>
  </si>
  <si>
    <t>Friborgo</t>
  </si>
  <si>
    <t>Solothurn</t>
  </si>
  <si>
    <t>Soloturn</t>
  </si>
  <si>
    <t>Soletta</t>
  </si>
  <si>
    <t>Basel-Stadt</t>
  </si>
  <si>
    <t>Basilea-Citad</t>
  </si>
  <si>
    <t>Basilea Città</t>
  </si>
  <si>
    <t>Basel-Landschaft</t>
  </si>
  <si>
    <t>Basilea-Champagna</t>
  </si>
  <si>
    <t>Basilea Campagna</t>
  </si>
  <si>
    <t>Schaffhausen</t>
  </si>
  <si>
    <t>Schaffusa</t>
  </si>
  <si>
    <t>Sciaffusa</t>
  </si>
  <si>
    <t>Appenzell Ausserrhoden</t>
  </si>
  <si>
    <t>Appenzell Dadora</t>
  </si>
  <si>
    <t>Appenzello Esterno</t>
  </si>
  <si>
    <t>Appenzell Innerrhoden</t>
  </si>
  <si>
    <t>Appenzell Dadens</t>
  </si>
  <si>
    <t>Appenzello Interno</t>
  </si>
  <si>
    <t>St. Gallen</t>
  </si>
  <si>
    <t>Son Gagl</t>
  </si>
  <si>
    <t>San Gallo</t>
  </si>
  <si>
    <t>Aargau</t>
  </si>
  <si>
    <t>Argovia</t>
  </si>
  <si>
    <t>Thurgau</t>
  </si>
  <si>
    <t>Turgovia</t>
  </si>
  <si>
    <t>Tessin</t>
  </si>
  <si>
    <t>Ticino</t>
  </si>
  <si>
    <t>Waadt</t>
  </si>
  <si>
    <t>Vad</t>
  </si>
  <si>
    <t>Vaud</t>
  </si>
  <si>
    <t>Wallis</t>
  </si>
  <si>
    <t>Vallais</t>
  </si>
  <si>
    <t>Vallese</t>
  </si>
  <si>
    <t>Neuenburg</t>
  </si>
  <si>
    <t>Neuchâtel</t>
  </si>
  <si>
    <t>Genf</t>
  </si>
  <si>
    <t>Genevra</t>
  </si>
  <si>
    <t>Ginevra</t>
  </si>
  <si>
    <t>Jura</t>
  </si>
  <si>
    <t>Giura</t>
  </si>
  <si>
    <t>&lt;T2Zeilentitel_2&gt;</t>
  </si>
  <si>
    <t>&lt;T2Zeilentitel_3&gt;</t>
  </si>
  <si>
    <t>&lt;T2Zeilentitel_4&gt;</t>
  </si>
  <si>
    <t>&lt;T2Zeilentitel_5&gt;</t>
  </si>
  <si>
    <t>&lt;T2Zeilentitel_6&gt;</t>
  </si>
  <si>
    <t>&lt;T2Zeilentitel_7&gt;</t>
  </si>
  <si>
    <t>&lt;T2Zeilentitel_8&gt;</t>
  </si>
  <si>
    <t>&lt;T2Zeilentitel_9&gt;</t>
  </si>
  <si>
    <t>&lt;T2Zeilentitel_10&gt;</t>
  </si>
  <si>
    <t>&lt;T2Zeilentitel_11&gt;</t>
  </si>
  <si>
    <t>&lt;T2Zeilentitel_12&gt;</t>
  </si>
  <si>
    <t>&lt;T2Zeilentitel_13&gt;</t>
  </si>
  <si>
    <t>&lt;T2Zeilentitel_14&gt;</t>
  </si>
  <si>
    <t>&lt;T2Zeilentitel_15&gt;</t>
  </si>
  <si>
    <t>&lt;T2Zeilentitel_16&gt;</t>
  </si>
  <si>
    <t>&lt;T2Zeilentitel_17&gt;</t>
  </si>
  <si>
    <t>&lt;T2Zeilentitel_19&gt;</t>
  </si>
  <si>
    <t>&lt;T2Zeilentitel_20&gt;</t>
  </si>
  <si>
    <t>&lt;T2Zeilentitel_21&gt;</t>
  </si>
  <si>
    <t>&lt;T2Zeilentitel_22&gt;</t>
  </si>
  <si>
    <t>&lt;T2Zeilentitel_23&gt;</t>
  </si>
  <si>
    <t>&lt;T2Zeilentitel_24&gt;</t>
  </si>
  <si>
    <t>&lt;T2Zeilentitel_25&gt;</t>
  </si>
  <si>
    <t>&lt;T2Zeilentitel_26&gt;</t>
  </si>
  <si>
    <t>&lt;T2Zeilentitel_27&gt;</t>
  </si>
  <si>
    <t>Gebäude nach Eigentümertyp und Kanton 2022</t>
  </si>
  <si>
    <t>Edifizis tenor tip da proprietari e chantun, 2022</t>
  </si>
  <si>
    <t>Edifici secondo tipo di proprietario e cantone, 2022</t>
  </si>
  <si>
    <t>Prospetto sinottico degli edifici secondo tipo di proprietario nel cantone Grigioni e in Svizzera, 2022</t>
  </si>
  <si>
    <t>&lt;T2Zeilentitel_18&gt;</t>
  </si>
  <si>
    <t>T3</t>
  </si>
  <si>
    <t>&lt;T3Titel&gt;</t>
  </si>
  <si>
    <t>&lt;T3UTitel&gt;</t>
  </si>
  <si>
    <t>&lt;T3SpaltenTitel_1.4.1&gt;</t>
  </si>
  <si>
    <t>&lt;T3SpaltenTitel_1.4.2&gt;</t>
  </si>
  <si>
    <t>&lt;T3SpaltenTitel_1.4.3&gt;</t>
  </si>
  <si>
    <t>Landwirtschaft, Forstwirtschaft und Fischerei</t>
  </si>
  <si>
    <t>Verarbeitendes Gewerbe /Herstellung von Waren, Bergbau und Gewinnung von Steinen 
und Erden, sonstige Industrie</t>
  </si>
  <si>
    <t xml:space="preserve">Baugewerbe/Bau </t>
  </si>
  <si>
    <t>Handel, Verkehr und Lagerei, Information und Kommunikation</t>
  </si>
  <si>
    <t xml:space="preserve">Erbringung von Finanz- und Versicherungsdienstleistungen </t>
  </si>
  <si>
    <t>Grundstücks- und Wohnungswesen</t>
  </si>
  <si>
    <t>Erbringung von freiberuflichen, wissenschaftlichen und technischen Dienst-leistungen sowie von sonstigen wirtschaftlichen Dienst-leistungen</t>
  </si>
  <si>
    <t xml:space="preserve">Öffentliche Verwaltung, Verteidigung, Sozialversicherung, Erziehung und Unterricht, Gesundheits- und Sozialwesen </t>
  </si>
  <si>
    <t xml:space="preserve">Sonstige Dienstleistungen </t>
  </si>
  <si>
    <t>Gemischte Wirtschaftszweige</t>
  </si>
  <si>
    <t>Unbekannte Wirtschaftszweige</t>
  </si>
  <si>
    <t>&lt;T3SpaltenTitel_1.4.4&gt;</t>
  </si>
  <si>
    <t>&lt;T3SpaltenTitel_1.4.5&gt;</t>
  </si>
  <si>
    <t>&lt;T3SpaltenTitel_1.4.6&gt;</t>
  </si>
  <si>
    <t>&lt;T3SpaltenTitel_1.4.7&gt;</t>
  </si>
  <si>
    <t>&lt;T3SpaltenTitel_1.4.8&gt;</t>
  </si>
  <si>
    <t>&lt;T3SpaltenTitel_1.4.9&gt;</t>
  </si>
  <si>
    <t>&lt;T3SpaltenTitel_1.4.10&gt;</t>
  </si>
  <si>
    <t>&lt;T3SpaltenTitel_1.4.11&gt;</t>
  </si>
  <si>
    <t>&lt;T3SpaltenTitel_1.4.12&gt;</t>
  </si>
  <si>
    <t>&lt;T3SpaltenTitel_1.4.13&gt;</t>
  </si>
  <si>
    <t>&lt;T3SpaltenTitel_1.5.1&gt;</t>
  </si>
  <si>
    <t>&lt;T3SpaltenTitel_1.5.2&gt;</t>
  </si>
  <si>
    <t>&lt;T3SpaltenTitel_1.5.3&gt;</t>
  </si>
  <si>
    <t>&lt;T3SpaltenTitel_1.5.4&gt;</t>
  </si>
  <si>
    <t>&lt;T3SpaltenTitel_1.5.5&gt;</t>
  </si>
  <si>
    <t>Einfache Gesellschaft</t>
  </si>
  <si>
    <t>Erbengemeinschaft</t>
  </si>
  <si>
    <t>Unbekannt</t>
  </si>
  <si>
    <t>Edifici secondo tipo di proprietario, ramo economico, tipo di comunità e cantone, 2022</t>
  </si>
  <si>
    <t>Gebäude nach Eigentümertyp, Wirtschaftszweig, Gemeinschaftstyp und Kanton 2022</t>
  </si>
  <si>
    <t>Edifizis tenor tip da proprietari, sectur economic, tip da cuminanza e chantun 2022</t>
  </si>
  <si>
    <t>&lt;T3Legende_7&gt;</t>
  </si>
  <si>
    <t>(5) NOGA: Mit der Allgemeinen Systematik der Wirtschaftszweige (NOGA) können die Unternehmen anhand ihrer wirtschaftlichen Haupttätigkeit klassiert und konsistent gruppiert werden.</t>
  </si>
  <si>
    <t>(5) NOGA: Cun la sistematica generala da las branschas economicas (NOGA) pon las interpresas vegnir classifitgadas e gruppadas en moda consequenta a basa da lur activitad economica principala.</t>
  </si>
  <si>
    <t>Wirtschaftszweige (NOGA) (5)</t>
  </si>
  <si>
    <t>(5) NOGA: la Nomenclatura generale delle attività economiche (NOGA) consente di classificare le imprese in funzione della loro attività economica principale, raggruppandole in insiemi coerenti.</t>
  </si>
  <si>
    <t xml:space="preserve">Agricoltura, silvicoltura e pesca </t>
  </si>
  <si>
    <t>Attività manifatturiere ed estrattive, altre attività</t>
  </si>
  <si>
    <t>Costruzioni</t>
  </si>
  <si>
    <t>Commercio all’ingrosso e al dettaglio, trasporto e magazzinaggio, attività di alloggio e ristorazione, informazioni e comunicazione</t>
  </si>
  <si>
    <t xml:space="preserve">Attività finanziarie e assicurative </t>
  </si>
  <si>
    <t xml:space="preserve">Attività immobiliari </t>
  </si>
  <si>
    <t xml:space="preserve">Attività professionali, scientifiche e tecniche, attività amministrative e di servizi di supporto </t>
  </si>
  <si>
    <t>Amministrazione pubblica e difesa, istruzione, sanità e assistenza sociale</t>
  </si>
  <si>
    <t xml:space="preserve">Altre attività di servizi </t>
  </si>
  <si>
    <t>Settori di attività misti</t>
  </si>
  <si>
    <t>Sconosciuto</t>
  </si>
  <si>
    <t>Settore di attività economicha (NOGA) (5)</t>
  </si>
  <si>
    <t>Società semplice</t>
  </si>
  <si>
    <t>Comunità ereditaria, quote di eredità</t>
  </si>
  <si>
    <t>Altro tipo di comunità</t>
  </si>
  <si>
    <t>Secturs economics (NOGA) (5)</t>
  </si>
  <si>
    <t>Agricultura, selvicultura e pestga</t>
  </si>
  <si>
    <t xml:space="preserve">Industria da construcziun/construcziun </t>
  </si>
  <si>
    <t>Commerzi, traffic e deposit, infurmaziun e communicaziun</t>
  </si>
  <si>
    <t xml:space="preserve">Administraziun publica, defensiun, assicuranza sociala, educaziun ed instrucziun, fatgs da sanadad e fatgs socials </t>
  </si>
  <si>
    <t xml:space="preserve">Autras prestaziuns da servetsch </t>
  </si>
  <si>
    <t>Activitads da producziun/producziun da rauba, minieras ed explotaziun da crappa e terra, ulteriura industria</t>
  </si>
  <si>
    <t xml:space="preserve">Facultads da finanzas e d'assicuranza </t>
  </si>
  <si>
    <t xml:space="preserve">Facultad d'immobiglias </t>
  </si>
  <si>
    <t>Prestaziuns da servetsch professiunalas libras, scientificas e tecnicas sco er ulteriuras prestaziuns da servetsch economicas</t>
  </si>
  <si>
    <t>Nunenconuschents</t>
  </si>
  <si>
    <t>Secturs economics maschadads</t>
  </si>
  <si>
    <t>Societad simpla</t>
  </si>
  <si>
    <t>Cuminanza d'ertavels</t>
  </si>
  <si>
    <t>Nunenconuschent</t>
  </si>
  <si>
    <t>Auter tip da cuminanza</t>
  </si>
  <si>
    <t>&lt;T3SpaltenTitel_1.5.6&gt;</t>
  </si>
  <si>
    <t>Gemeinschaftstyp</t>
  </si>
  <si>
    <t>Totale (Svizzera senza ZH e VS) (4)</t>
  </si>
  <si>
    <t>T4</t>
  </si>
  <si>
    <t>&lt;T4Titel&gt;</t>
  </si>
  <si>
    <t>&lt;T4UTitel&gt;</t>
  </si>
  <si>
    <t>&lt;T4SpaltenTitel_1.4.1&gt;</t>
  </si>
  <si>
    <t>&lt;T4SpaltenTitel_1.4.2&gt;</t>
  </si>
  <si>
    <t>&lt;T4SpaltenTitel_1.4.3&gt;</t>
  </si>
  <si>
    <t>&lt;T4SpaltenTitel_1.4.4&gt;</t>
  </si>
  <si>
    <t>&lt;T4SpaltenTitel_1.4.5&gt;</t>
  </si>
  <si>
    <t>&lt;T4SpaltenTitel_1.4.6&gt;</t>
  </si>
  <si>
    <t>&lt;T4SpaltenTitel_1.4.7&gt;</t>
  </si>
  <si>
    <t>&lt;T4SpaltenTitel_1.4.8&gt;</t>
  </si>
  <si>
    <t>&lt;T4SpaltenTitel_1.4.9&gt;</t>
  </si>
  <si>
    <t>&lt;T4SpaltenTitel_1.4.10&gt;</t>
  </si>
  <si>
    <t>&lt;T4SpaltenTitel_1.4.11&gt;</t>
  </si>
  <si>
    <t>&lt;T4SpaltenTitel_1.4.12&gt;</t>
  </si>
  <si>
    <t>Aktiengesellschaft</t>
  </si>
  <si>
    <t>Gesellschaft mit beschränkter Haftung GmbH</t>
  </si>
  <si>
    <t>Genossenschaft</t>
  </si>
  <si>
    <t>Verein</t>
  </si>
  <si>
    <t>Stiftung</t>
  </si>
  <si>
    <t xml:space="preserve">Institut des öffentlichen Rechts
</t>
  </si>
  <si>
    <t>Rechtsformen des öffentlichen Rechts</t>
  </si>
  <si>
    <t>Andere Rechtsform</t>
  </si>
  <si>
    <t>Gemischte Rechtformen</t>
  </si>
  <si>
    <t>Unbekannte Rechtsform</t>
  </si>
  <si>
    <t>Rechtsform (5)</t>
  </si>
  <si>
    <t>&lt;T4Legende_7&gt;</t>
  </si>
  <si>
    <t>(5) Rechtsform: Gemäss eCH-0097-Standard</t>
  </si>
  <si>
    <t>(5) Forma giuridica: secondo la norma giuridica eCH-0097</t>
  </si>
  <si>
    <t>(5) Furma giuridica: tenor la norma giuridica eCH-0097</t>
  </si>
  <si>
    <t>Societad cun responsabladad limitada ScRL</t>
  </si>
  <si>
    <t xml:space="preserve">Institut da dretg public
</t>
  </si>
  <si>
    <t>Autra furma giuridica</t>
  </si>
  <si>
    <t>Furma giuridica (5)</t>
  </si>
  <si>
    <t>Societad anonima</t>
  </si>
  <si>
    <t>Uniun</t>
  </si>
  <si>
    <t>Fundaziun</t>
  </si>
  <si>
    <t>Furmas giuridicas dal dretg public</t>
  </si>
  <si>
    <t>Furmas giuridicas maschadadas</t>
  </si>
  <si>
    <t>Furma giuridica nunenconuschenta</t>
  </si>
  <si>
    <t>Società anonima</t>
  </si>
  <si>
    <t>Società a garanzia limitata Sagl</t>
  </si>
  <si>
    <t>Cooperativa</t>
  </si>
  <si>
    <t>Associazione politica, religiosa, scientifica ecc.</t>
  </si>
  <si>
    <t>Fondazione</t>
  </si>
  <si>
    <t>Istituto di diritto pubblico</t>
  </si>
  <si>
    <t>Forme giuridiche di diritto pubblico</t>
  </si>
  <si>
    <t>Altra forma giuridica</t>
  </si>
  <si>
    <t>Forme giuridiche miste</t>
  </si>
  <si>
    <t>Forma giuridica sconosciuta</t>
  </si>
  <si>
    <t>Societad cooperativa</t>
  </si>
  <si>
    <t>Forma giuridica (5)</t>
  </si>
  <si>
    <t>T5</t>
  </si>
  <si>
    <t>&lt;T5Titel&gt;</t>
  </si>
  <si>
    <t>Gebäude nach Eigentümertyp und Kanton, 2022</t>
  </si>
  <si>
    <t>Stadt Chur</t>
  </si>
  <si>
    <t>&lt;T5UTitel&gt;</t>
  </si>
  <si>
    <t>Total Chur</t>
  </si>
  <si>
    <t>Total Cuira</t>
  </si>
  <si>
    <t>Totale Coira</t>
  </si>
  <si>
    <t>Città di Coira</t>
  </si>
  <si>
    <t>Citad da Cuira</t>
  </si>
  <si>
    <t>&lt;T5Zeilentitel_1&gt;</t>
  </si>
  <si>
    <t>&lt;T5Spaltentitel_1&gt;</t>
  </si>
  <si>
    <t>Edifizis tenor tip da proprietari en la citad da Cuira, 2022</t>
  </si>
  <si>
    <t>Gebäude nach Eigentümertyp in der Stadt Chur, 2022</t>
  </si>
  <si>
    <t>Edifici secondo tipo di proprietario nella città di Coira,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</si>
</sst>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/>
  </cellStyleXfs>
  <cellXfs count="109">
    <xf numFmtId="0" fontId="0" fillId="0" borderId="0" xfId="0"/>
    <xf numFmtId="0" fontId="3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0" fillId="3" borderId="0" xfId="0" applyFont="1" applyFill="1"/>
    <xf numFmtId="0" fontId="0" fillId="3" borderId="0" xfId="0" applyFont="1" applyFill="1" applyBorder="1" applyAlignment="1"/>
    <xf numFmtId="0" fontId="1" fillId="4" borderId="3" xfId="0" applyFont="1" applyFill="1" applyBorder="1" applyAlignment="1">
      <alignment wrapText="1"/>
    </xf>
    <xf numFmtId="3" fontId="1" fillId="4" borderId="0" xfId="0" applyNumberFormat="1" applyFont="1" applyFill="1" applyBorder="1"/>
    <xf numFmtId="3" fontId="1" fillId="0" borderId="11" xfId="0" applyNumberFormat="1" applyFont="1" applyFill="1" applyBorder="1"/>
    <xf numFmtId="3" fontId="1" fillId="4" borderId="4" xfId="0" applyNumberFormat="1" applyFont="1" applyFill="1" applyBorder="1"/>
    <xf numFmtId="3" fontId="1" fillId="6" borderId="4" xfId="0" applyNumberFormat="1" applyFont="1" applyFill="1" applyBorder="1"/>
    <xf numFmtId="0" fontId="12" fillId="2" borderId="0" xfId="0" applyFont="1" applyFill="1" applyAlignment="1">
      <alignment horizontal="left"/>
    </xf>
    <xf numFmtId="3" fontId="1" fillId="4" borderId="2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/>
    </xf>
    <xf numFmtId="0" fontId="11" fillId="7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center" wrapText="1"/>
    </xf>
    <xf numFmtId="0" fontId="7" fillId="9" borderId="0" xfId="0" applyFont="1" applyFill="1" applyBorder="1" applyAlignment="1">
      <alignment horizontal="left" vertical="top" wrapText="1"/>
    </xf>
    <xf numFmtId="0" fontId="10" fillId="9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10" fillId="9" borderId="0" xfId="0" applyFont="1" applyFill="1" applyBorder="1" applyAlignment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wrapText="1"/>
    </xf>
    <xf numFmtId="0" fontId="1" fillId="4" borderId="13" xfId="0" applyFont="1" applyFill="1" applyBorder="1" applyAlignment="1">
      <alignment vertical="top" wrapText="1"/>
    </xf>
    <xf numFmtId="0" fontId="1" fillId="4" borderId="14" xfId="0" applyFont="1" applyFill="1" applyBorder="1"/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/>
    <xf numFmtId="0" fontId="1" fillId="4" borderId="21" xfId="0" applyFont="1" applyFill="1" applyBorder="1" applyAlignment="1">
      <alignment wrapText="1"/>
    </xf>
    <xf numFmtId="0" fontId="1" fillId="5" borderId="18" xfId="0" applyFont="1" applyFill="1" applyBorder="1"/>
    <xf numFmtId="0" fontId="1" fillId="0" borderId="23" xfId="0" applyFont="1" applyFill="1" applyBorder="1" applyAlignment="1">
      <alignment wrapText="1"/>
    </xf>
    <xf numFmtId="0" fontId="1" fillId="4" borderId="18" xfId="0" applyFont="1" applyFill="1" applyBorder="1" applyAlignment="1">
      <alignment horizontal="left" wrapText="1"/>
    </xf>
    <xf numFmtId="3" fontId="1" fillId="4" borderId="25" xfId="0" applyNumberFormat="1" applyFont="1" applyFill="1" applyBorder="1" applyAlignment="1">
      <alignment horizontal="right"/>
    </xf>
    <xf numFmtId="0" fontId="1" fillId="0" borderId="23" xfId="0" applyFont="1" applyFill="1" applyBorder="1" applyAlignment="1">
      <alignment horizontal="left" wrapText="1"/>
    </xf>
    <xf numFmtId="0" fontId="1" fillId="4" borderId="26" xfId="0" applyFont="1" applyFill="1" applyBorder="1" applyAlignment="1">
      <alignment horizontal="left" wrapText="1"/>
    </xf>
    <xf numFmtId="3" fontId="1" fillId="4" borderId="27" xfId="0" applyNumberFormat="1" applyFont="1" applyFill="1" applyBorder="1"/>
    <xf numFmtId="0" fontId="5" fillId="5" borderId="18" xfId="0" applyFont="1" applyFill="1" applyBorder="1"/>
    <xf numFmtId="3" fontId="5" fillId="6" borderId="5" xfId="0" applyNumberFormat="1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15" fillId="4" borderId="18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wrapText="1"/>
    </xf>
    <xf numFmtId="0" fontId="0" fillId="9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3" fontId="1" fillId="4" borderId="28" xfId="0" applyNumberFormat="1" applyFont="1" applyFill="1" applyBorder="1" applyAlignment="1">
      <alignment horizontal="right"/>
    </xf>
    <xf numFmtId="3" fontId="1" fillId="4" borderId="29" xfId="0" applyNumberFormat="1" applyFont="1" applyFill="1" applyBorder="1" applyAlignment="1">
      <alignment horizontal="right"/>
    </xf>
    <xf numFmtId="3" fontId="1" fillId="4" borderId="30" xfId="0" applyNumberFormat="1" applyFont="1" applyFill="1" applyBorder="1" applyAlignment="1">
      <alignment horizontal="right"/>
    </xf>
    <xf numFmtId="0" fontId="1" fillId="10" borderId="18" xfId="0" applyFont="1" applyFill="1" applyBorder="1" applyAlignment="1">
      <alignment horizontal="left" wrapText="1"/>
    </xf>
    <xf numFmtId="3" fontId="1" fillId="10" borderId="4" xfId="0" applyNumberFormat="1" applyFont="1" applyFill="1" applyBorder="1"/>
    <xf numFmtId="3" fontId="1" fillId="10" borderId="2" xfId="0" applyNumberFormat="1" applyFont="1" applyFill="1" applyBorder="1" applyAlignment="1">
      <alignment horizontal="right"/>
    </xf>
    <xf numFmtId="3" fontId="1" fillId="10" borderId="0" xfId="0" applyNumberFormat="1" applyFont="1" applyFill="1" applyBorder="1" applyAlignment="1">
      <alignment horizontal="right"/>
    </xf>
    <xf numFmtId="3" fontId="1" fillId="10" borderId="25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164" fontId="1" fillId="4" borderId="25" xfId="0" applyNumberFormat="1" applyFont="1" applyFill="1" applyBorder="1" applyAlignment="1">
      <alignment horizontal="right"/>
    </xf>
    <xf numFmtId="164" fontId="5" fillId="6" borderId="1" xfId="0" applyNumberFormat="1" applyFont="1" applyFill="1" applyBorder="1"/>
    <xf numFmtId="164" fontId="5" fillId="6" borderId="6" xfId="0" applyNumberFormat="1" applyFont="1" applyFill="1" applyBorder="1"/>
    <xf numFmtId="164" fontId="5" fillId="6" borderId="22" xfId="0" applyNumberFormat="1" applyFont="1" applyFill="1" applyBorder="1"/>
    <xf numFmtId="164" fontId="1" fillId="4" borderId="2" xfId="0" applyNumberFormat="1" applyFont="1" applyFill="1" applyBorder="1"/>
    <xf numFmtId="164" fontId="1" fillId="4" borderId="0" xfId="0" applyNumberFormat="1" applyFont="1" applyFill="1" applyBorder="1"/>
    <xf numFmtId="164" fontId="1" fillId="4" borderId="25" xfId="0" applyNumberFormat="1" applyFont="1" applyFill="1" applyBorder="1"/>
    <xf numFmtId="164" fontId="1" fillId="0" borderId="12" xfId="0" applyNumberFormat="1" applyFont="1" applyFill="1" applyBorder="1"/>
    <xf numFmtId="164" fontId="1" fillId="0" borderId="10" xfId="0" applyNumberFormat="1" applyFont="1" applyFill="1" applyBorder="1"/>
    <xf numFmtId="164" fontId="1" fillId="0" borderId="24" xfId="0" applyNumberFormat="1" applyFont="1" applyFill="1" applyBorder="1"/>
    <xf numFmtId="164" fontId="1" fillId="6" borderId="2" xfId="0" applyNumberFormat="1" applyFont="1" applyFill="1" applyBorder="1"/>
    <xf numFmtId="164" fontId="1" fillId="6" borderId="0" xfId="0" applyNumberFormat="1" applyFont="1" applyFill="1" applyBorder="1"/>
    <xf numFmtId="164" fontId="1" fillId="6" borderId="25" xfId="0" applyNumberFormat="1" applyFont="1" applyFill="1" applyBorder="1"/>
    <xf numFmtId="164" fontId="1" fillId="4" borderId="28" xfId="0" applyNumberFormat="1" applyFont="1" applyFill="1" applyBorder="1"/>
    <xf numFmtId="164" fontId="1" fillId="4" borderId="29" xfId="0" applyNumberFormat="1" applyFont="1" applyFill="1" applyBorder="1"/>
    <xf numFmtId="164" fontId="1" fillId="4" borderId="30" xfId="0" applyNumberFormat="1" applyFont="1" applyFill="1" applyBorder="1"/>
    <xf numFmtId="164" fontId="1" fillId="10" borderId="2" xfId="0" applyNumberFormat="1" applyFont="1" applyFill="1" applyBorder="1" applyAlignment="1">
      <alignment horizontal="right"/>
    </xf>
    <xf numFmtId="164" fontId="1" fillId="10" borderId="0" xfId="0" applyNumberFormat="1" applyFont="1" applyFill="1" applyBorder="1" applyAlignment="1">
      <alignment horizontal="right"/>
    </xf>
    <xf numFmtId="164" fontId="1" fillId="10" borderId="25" xfId="0" applyNumberFormat="1" applyFont="1" applyFill="1" applyBorder="1" applyAlignment="1">
      <alignment horizontal="right"/>
    </xf>
    <xf numFmtId="164" fontId="1" fillId="4" borderId="28" xfId="0" applyNumberFormat="1" applyFont="1" applyFill="1" applyBorder="1" applyAlignment="1">
      <alignment horizontal="right"/>
    </xf>
    <xf numFmtId="164" fontId="1" fillId="4" borderId="29" xfId="0" applyNumberFormat="1" applyFont="1" applyFill="1" applyBorder="1" applyAlignment="1">
      <alignment horizontal="right"/>
    </xf>
    <xf numFmtId="164" fontId="1" fillId="4" borderId="30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33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textRotation="90" wrapText="1"/>
    </xf>
    <xf numFmtId="0" fontId="1" fillId="4" borderId="31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wrapText="1"/>
    </xf>
    <xf numFmtId="3" fontId="1" fillId="0" borderId="35" xfId="0" applyNumberFormat="1" applyFont="1" applyFill="1" applyBorder="1"/>
    <xf numFmtId="164" fontId="1" fillId="0" borderId="36" xfId="0" applyNumberFormat="1" applyFont="1" applyFill="1" applyBorder="1"/>
    <xf numFmtId="164" fontId="1" fillId="0" borderId="37" xfId="0" applyNumberFormat="1" applyFont="1" applyFill="1" applyBorder="1"/>
    <xf numFmtId="164" fontId="1" fillId="0" borderId="38" xfId="0" applyNumberFormat="1" applyFont="1" applyFill="1" applyBorder="1"/>
  </cellXfs>
  <cellStyles count="4">
    <cellStyle name="Normal 2" xfId="1"/>
    <cellStyle name="Normal 4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568325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0</xdr:row>
      <xdr:rowOff>19050</xdr:rowOff>
    </xdr:from>
    <xdr:to>
      <xdr:col>5</xdr:col>
      <xdr:colOff>895350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1240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20" name="Option Button 696" hidden="1">
                <a:extLst>
                  <a:ext uri="{63B3BB69-23CF-44E3-9099-C40C66FF867C}">
                    <a14:compatExt spid="_x0000_s1720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21" name="Option Button 697" hidden="1">
                <a:extLst>
                  <a:ext uri="{63B3BB69-23CF-44E3-9099-C40C66FF867C}">
                    <a14:compatExt spid="_x0000_s1721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22" name="Option Button 698" hidden="1">
                <a:extLst>
                  <a:ext uri="{63B3BB69-23CF-44E3-9099-C40C66FF867C}">
                    <a14:compatExt spid="_x0000_s1722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568325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0</xdr:row>
      <xdr:rowOff>19050</xdr:rowOff>
    </xdr:from>
    <xdr:to>
      <xdr:col>5</xdr:col>
      <xdr:colOff>895350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1240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Option Button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Option Butto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Option Button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739775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771525</xdr:colOff>
      <xdr:row>0</xdr:row>
      <xdr:rowOff>19050</xdr:rowOff>
    </xdr:from>
    <xdr:to>
      <xdr:col>6</xdr:col>
      <xdr:colOff>409575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1240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Option Button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Option Button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Option Button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739775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771525</xdr:colOff>
      <xdr:row>0</xdr:row>
      <xdr:rowOff>19050</xdr:rowOff>
    </xdr:from>
    <xdr:to>
      <xdr:col>6</xdr:col>
      <xdr:colOff>409575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1240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Option Button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568325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600075</xdr:colOff>
      <xdr:row>0</xdr:row>
      <xdr:rowOff>19050</xdr:rowOff>
    </xdr:from>
    <xdr:to>
      <xdr:col>5</xdr:col>
      <xdr:colOff>895350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1240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Option Button 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Option Button 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Option Button 3" hidden="1">
                <a:extLst>
                  <a:ext uri="{63B3BB69-23CF-44E3-9099-C40C66FF867C}">
                    <a14:compatExt spid="_x0000_s717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/>
  </sheetViews>
  <sheetFormatPr baseColWidth="10" defaultRowHeight="12.75" x14ac:dyDescent="0.2"/>
  <cols>
    <col min="1" max="1" width="38.5703125" style="8" customWidth="1"/>
    <col min="2" max="7" width="13.7109375" style="8" customWidth="1"/>
    <col min="8" max="16384" width="11.42578125" style="8"/>
  </cols>
  <sheetData>
    <row r="1" spans="1:7" s="4" customFormat="1" x14ac:dyDescent="0.2"/>
    <row r="2" spans="1:7" s="4" customFormat="1" ht="15.75" x14ac:dyDescent="0.25">
      <c r="B2" s="33"/>
    </row>
    <row r="3" spans="1:7" s="4" customFormat="1" ht="15.75" x14ac:dyDescent="0.25">
      <c r="B3" s="33"/>
    </row>
    <row r="4" spans="1:7" s="4" customFormat="1" ht="15.75" x14ac:dyDescent="0.25">
      <c r="B4" s="33"/>
    </row>
    <row r="5" spans="1:7" s="4" customFormat="1" x14ac:dyDescent="0.2"/>
    <row r="6" spans="1:7" s="2" customFormat="1" ht="6" customHeight="1" x14ac:dyDescent="0.2">
      <c r="A6" s="4"/>
      <c r="B6" s="4"/>
      <c r="C6" s="4"/>
      <c r="D6" s="4"/>
      <c r="E6" s="4"/>
      <c r="F6" s="4"/>
      <c r="G6" s="4"/>
    </row>
    <row r="7" spans="1:7" s="4" customFormat="1" ht="15.75" customHeight="1" x14ac:dyDescent="0.2">
      <c r="A7" s="36" t="str">
        <f>VLOOKUP("&lt;Fachbereich&gt;",Uebersetzungen!$B$3:$E$30,Uebersetzungen!$B$2+1,FALSE)</f>
        <v>Daten &amp; Statistik</v>
      </c>
      <c r="B7" s="36"/>
      <c r="C7" s="36"/>
      <c r="D7" s="36"/>
      <c r="E7" s="34"/>
      <c r="F7" s="5"/>
      <c r="G7" s="5"/>
    </row>
    <row r="9" spans="1:7" ht="18" x14ac:dyDescent="0.25">
      <c r="A9" s="15" t="str">
        <f>VLOOKUP("&lt;Titel&gt;",Uebersetzungen!$B$3:$E$30,Uebersetzungen!$B$2+1,FALSE)</f>
        <v>Allgemeine Übersicht Gebäude nach Eigentümertyp im Kanton Graubünden und der Schweiz, 2022</v>
      </c>
      <c r="B9" s="3"/>
      <c r="C9" s="3"/>
      <c r="D9" s="3"/>
      <c r="E9" s="3"/>
      <c r="F9" s="3"/>
      <c r="G9" s="1"/>
    </row>
    <row r="10" spans="1:7" x14ac:dyDescent="0.2">
      <c r="A10" s="7"/>
      <c r="B10" s="6"/>
      <c r="C10" s="6"/>
      <c r="D10" s="6"/>
      <c r="E10" s="6"/>
      <c r="F10" s="6"/>
      <c r="G10" s="6"/>
    </row>
    <row r="11" spans="1:7" ht="13.5" thickBot="1" x14ac:dyDescent="0.25">
      <c r="A11" s="7"/>
      <c r="B11" s="6"/>
      <c r="C11" s="6"/>
      <c r="D11" s="6"/>
      <c r="E11" s="6"/>
      <c r="F11" s="6"/>
      <c r="G11" s="6"/>
    </row>
    <row r="12" spans="1:7" x14ac:dyDescent="0.2">
      <c r="A12" s="39"/>
      <c r="B12" s="101" t="str">
        <f>VLOOKUP("&lt;SpaltenTitel_1.1&gt;",Uebersetzungen!$B$3:$E$302,Uebersetzungen!$B$2+1,FALSE)</f>
        <v>Total</v>
      </c>
      <c r="C12" s="52" t="str">
        <f>VLOOKUP("&lt;SpaltenTitel_1.2&gt;",Uebersetzungen!$B$3:$E$302,Uebersetzungen!$B$2+1,FALSE)</f>
        <v>Eigentümertyp</v>
      </c>
      <c r="D12" s="53"/>
      <c r="E12" s="53"/>
      <c r="F12" s="53"/>
      <c r="G12" s="54"/>
    </row>
    <row r="13" spans="1:7" s="37" customFormat="1" ht="25.5" x14ac:dyDescent="0.2">
      <c r="A13" s="55" t="str">
        <f>VLOOKUP("&lt;SpaltenTitel_1&gt;",Uebersetzungen!$B$3:$E$302,Uebersetzungen!$B$2+1,FALSE)</f>
        <v>Schweiz</v>
      </c>
      <c r="B13" s="102"/>
      <c r="C13" s="38" t="str">
        <f>VLOOKUP("&lt;SpaltenTitel_1.3&gt;",Uebersetzungen!$B$3:$E$302,Uebersetzungen!$B$2+1,FALSE)</f>
        <v>Natürliche Person(en)</v>
      </c>
      <c r="D13" s="38" t="str">
        <f>VLOOKUP("&lt;SpaltenTitel_1.4&gt;",Uebersetzungen!$B$3:$E$302,Uebersetzungen!$B$2+1,FALSE)</f>
        <v>Juristische Person</v>
      </c>
      <c r="E13" s="38" t="str">
        <f>VLOOKUP("&lt;SpaltenTitel_1.5&gt;",Uebersetzungen!$B$3:$E$302,Uebersetzungen!$B$2+1,FALSE)</f>
        <v>Gemeinschaft (1)</v>
      </c>
      <c r="F13" s="38" t="str">
        <f>VLOOKUP("&lt;SpaltenTitel_1.6&gt;",Uebersetzungen!$B$3:$E$302,Uebersetzungen!$B$2+1,FALSE)</f>
        <v>Gemischt (2)</v>
      </c>
      <c r="G13" s="40" t="str">
        <f>VLOOKUP("&lt;SpaltenTitel_1.7&gt;",Uebersetzungen!$B$3:$E$302,Uebersetzungen!$B$2+1,FALSE)</f>
        <v>Unbekannt (3)</v>
      </c>
    </row>
    <row r="14" spans="1:7" ht="12.75" customHeight="1" x14ac:dyDescent="0.2">
      <c r="A14" s="41"/>
      <c r="B14" s="103"/>
      <c r="C14" s="10" t="s">
        <v>160</v>
      </c>
      <c r="D14" s="10" t="s">
        <v>160</v>
      </c>
      <c r="E14" s="10" t="s">
        <v>160</v>
      </c>
      <c r="F14" s="10" t="s">
        <v>160</v>
      </c>
      <c r="G14" s="42" t="s">
        <v>160</v>
      </c>
    </row>
    <row r="15" spans="1:7" x14ac:dyDescent="0.2">
      <c r="A15" s="50" t="str">
        <f>VLOOKUP("&lt;Zeilentitel_1.0&gt;",Uebersetzungen!$B$3:$E$302,Uebersetzungen!$B$2+1,FALSE)</f>
        <v>Total (Schweiz ohne ZH und VS) (4)</v>
      </c>
      <c r="B15" s="51">
        <v>1438755</v>
      </c>
      <c r="C15" s="70">
        <v>67</v>
      </c>
      <c r="D15" s="71">
        <v>11.9</v>
      </c>
      <c r="E15" s="71">
        <v>14.4</v>
      </c>
      <c r="F15" s="71">
        <v>5.6</v>
      </c>
      <c r="G15" s="72">
        <v>1.1000000000000001</v>
      </c>
    </row>
    <row r="16" spans="1:7" x14ac:dyDescent="0.2">
      <c r="A16" s="45" t="str">
        <f>VLOOKUP("&lt;Zeilentitel_1.2&gt;",Uebersetzungen!$B$3:$E$30,Uebersetzungen!$B$2+1,FALSE)</f>
        <v>Einfamilienhäuser</v>
      </c>
      <c r="B16" s="13">
        <v>819410</v>
      </c>
      <c r="C16" s="73">
        <v>75.3</v>
      </c>
      <c r="D16" s="74">
        <v>3.4</v>
      </c>
      <c r="E16" s="74">
        <v>18.2</v>
      </c>
      <c r="F16" s="74">
        <v>2</v>
      </c>
      <c r="G16" s="75">
        <v>1.1000000000000001</v>
      </c>
    </row>
    <row r="17" spans="1:7" x14ac:dyDescent="0.2">
      <c r="A17" s="45" t="str">
        <f>VLOOKUP("&lt;Zeilentitel_1.3&gt;",Uebersetzungen!$B$3:$E$30,Uebersetzungen!$B$2+1,FALSE)</f>
        <v>Mehrfamilienhäuser</v>
      </c>
      <c r="B17" s="13">
        <v>384557</v>
      </c>
      <c r="C17" s="73">
        <v>55.8</v>
      </c>
      <c r="D17" s="74">
        <v>20.3</v>
      </c>
      <c r="E17" s="74">
        <v>9.1999999999999993</v>
      </c>
      <c r="F17" s="74">
        <v>13.8</v>
      </c>
      <c r="G17" s="75">
        <v>1</v>
      </c>
    </row>
    <row r="18" spans="1:7" x14ac:dyDescent="0.2">
      <c r="A18" s="44" t="str">
        <f>VLOOKUP("&lt;Zeilentitel_1.4&gt;",Uebersetzungen!$B$3:$E$30,Uebersetzungen!$B$2+1,FALSE)</f>
        <v>Wohngebäude mit Nebennutzung</v>
      </c>
      <c r="B18" s="12">
        <v>166832</v>
      </c>
      <c r="C18" s="76">
        <v>64.2</v>
      </c>
      <c r="D18" s="77">
        <v>19.2</v>
      </c>
      <c r="E18" s="77">
        <v>10.6</v>
      </c>
      <c r="F18" s="77">
        <v>5.2</v>
      </c>
      <c r="G18" s="78">
        <v>0.8</v>
      </c>
    </row>
    <row r="19" spans="1:7" x14ac:dyDescent="0.2">
      <c r="A19" s="44" t="str">
        <f>VLOOKUP("&lt;Zeilentitel_1.5&gt;",Uebersetzungen!$B$3:$E$30,Uebersetzungen!$B$2+1,FALSE)</f>
        <v>Gebäude mit teilweiser Wohnnutzung</v>
      </c>
      <c r="B19" s="12">
        <v>67956</v>
      </c>
      <c r="C19" s="76">
        <v>37.6</v>
      </c>
      <c r="D19" s="77">
        <v>50.2</v>
      </c>
      <c r="E19" s="77">
        <v>6</v>
      </c>
      <c r="F19" s="77">
        <v>4</v>
      </c>
      <c r="G19" s="78">
        <v>2.2000000000000002</v>
      </c>
    </row>
    <row r="20" spans="1:7" x14ac:dyDescent="0.2">
      <c r="A20" s="43" t="str">
        <f>VLOOKUP("&lt;Zeilentitel_2&gt;",Uebersetzungen!$B$3:$E$302,Uebersetzungen!$B$2+1,FALSE)</f>
        <v>Bauperiode</v>
      </c>
      <c r="B20" s="14"/>
      <c r="C20" s="79"/>
      <c r="D20" s="80"/>
      <c r="E20" s="80"/>
      <c r="F20" s="80"/>
      <c r="G20" s="81"/>
    </row>
    <row r="21" spans="1:7" x14ac:dyDescent="0.2">
      <c r="A21" s="44" t="str">
        <f>VLOOKUP("&lt;Zeilentitel_2.1&gt;",Uebersetzungen!$B$3:$E$302,Uebersetzungen!$B$2+1,FALSE)</f>
        <v>vor 1919 erbaut</v>
      </c>
      <c r="B21" s="13">
        <v>274855</v>
      </c>
      <c r="C21" s="67">
        <v>71.599999999999994</v>
      </c>
      <c r="D21" s="68">
        <v>13</v>
      </c>
      <c r="E21" s="68">
        <v>11.7</v>
      </c>
      <c r="F21" s="68">
        <v>2.5</v>
      </c>
      <c r="G21" s="69">
        <v>1.2</v>
      </c>
    </row>
    <row r="22" spans="1:7" x14ac:dyDescent="0.2">
      <c r="A22" s="45" t="str">
        <f>VLOOKUP("&lt;Zeilentitel_2.2&gt;",Uebersetzungen!$B$3:$E$302,Uebersetzungen!$B$2+1,FALSE)</f>
        <v>1919-1945 erbaut</v>
      </c>
      <c r="B22" s="13">
        <v>163437</v>
      </c>
      <c r="C22" s="67">
        <v>68.5</v>
      </c>
      <c r="D22" s="68">
        <v>12.6</v>
      </c>
      <c r="E22" s="68">
        <v>14.9</v>
      </c>
      <c r="F22" s="68">
        <v>2</v>
      </c>
      <c r="G22" s="69">
        <v>1.9</v>
      </c>
    </row>
    <row r="23" spans="1:7" x14ac:dyDescent="0.2">
      <c r="A23" s="45" t="str">
        <f>VLOOKUP("&lt;Zeilentitel_2.3&gt;",Uebersetzungen!$B$3:$E$302,Uebersetzungen!$B$2+1,FALSE)</f>
        <v>1946-1960 erbaut</v>
      </c>
      <c r="B23" s="13">
        <v>150568</v>
      </c>
      <c r="C23" s="67">
        <v>65.599999999999994</v>
      </c>
      <c r="D23" s="68">
        <v>15.7</v>
      </c>
      <c r="E23" s="68">
        <v>15.5</v>
      </c>
      <c r="F23" s="68">
        <v>2</v>
      </c>
      <c r="G23" s="69">
        <v>1.2</v>
      </c>
    </row>
    <row r="24" spans="1:7" x14ac:dyDescent="0.2">
      <c r="A24" s="45" t="str">
        <f>VLOOKUP("&lt;Zeilentitel_2.4&gt;",Uebersetzungen!$B$3:$E$302,Uebersetzungen!$B$2+1,FALSE)</f>
        <v>1961-1970 erbaut</v>
      </c>
      <c r="B24" s="13">
        <v>137823</v>
      </c>
      <c r="C24" s="67">
        <v>65.3</v>
      </c>
      <c r="D24" s="68">
        <v>15.9</v>
      </c>
      <c r="E24" s="68">
        <v>14.6</v>
      </c>
      <c r="F24" s="68">
        <v>3.5</v>
      </c>
      <c r="G24" s="69">
        <v>0.8</v>
      </c>
    </row>
    <row r="25" spans="1:7" x14ac:dyDescent="0.2">
      <c r="A25" s="45" t="str">
        <f>VLOOKUP("&lt;Zeilentitel_2.5&gt;",Uebersetzungen!$B$3:$E$302,Uebersetzungen!$B$2+1,FALSE)</f>
        <v>1971-1980 erbaut</v>
      </c>
      <c r="B25" s="13">
        <v>152993</v>
      </c>
      <c r="C25" s="67">
        <v>67.900000000000006</v>
      </c>
      <c r="D25" s="68">
        <v>10.199999999999999</v>
      </c>
      <c r="E25" s="68">
        <v>14.7</v>
      </c>
      <c r="F25" s="68">
        <v>6.6</v>
      </c>
      <c r="G25" s="69">
        <v>0.6</v>
      </c>
    </row>
    <row r="26" spans="1:7" x14ac:dyDescent="0.2">
      <c r="A26" s="45" t="str">
        <f>VLOOKUP("&lt;Zeilentitel_2.6&gt;",Uebersetzungen!$B$3:$E$302,Uebersetzungen!$B$2+1,FALSE)</f>
        <v>1981-1990 erbaut</v>
      </c>
      <c r="B26" s="13">
        <v>160462</v>
      </c>
      <c r="C26" s="67">
        <v>67.3</v>
      </c>
      <c r="D26" s="68">
        <v>9.1</v>
      </c>
      <c r="E26" s="68">
        <v>15.3</v>
      </c>
      <c r="F26" s="68">
        <v>7.7</v>
      </c>
      <c r="G26" s="69">
        <v>0.5</v>
      </c>
    </row>
    <row r="27" spans="1:7" x14ac:dyDescent="0.2">
      <c r="A27" s="45" t="str">
        <f>VLOOKUP("&lt;Zeilentitel_2.7&gt;",Uebersetzungen!$B$3:$E$302,Uebersetzungen!$B$2+1,FALSE)</f>
        <v>1991-2000 erbaut</v>
      </c>
      <c r="B27" s="13">
        <v>142435</v>
      </c>
      <c r="C27" s="67">
        <v>64.7</v>
      </c>
      <c r="D27" s="68">
        <v>8.9</v>
      </c>
      <c r="E27" s="68">
        <v>16.8</v>
      </c>
      <c r="F27" s="68">
        <v>9.1</v>
      </c>
      <c r="G27" s="69">
        <v>0.5</v>
      </c>
    </row>
    <row r="28" spans="1:7" x14ac:dyDescent="0.2">
      <c r="A28" s="45" t="str">
        <f>VLOOKUP("&lt;Zeilentitel_2.8&gt;",Uebersetzungen!$B$3:$E$302,Uebersetzungen!$B$2+1,FALSE)</f>
        <v>2001-2005 erbaut</v>
      </c>
      <c r="B28" s="13">
        <v>64561</v>
      </c>
      <c r="C28" s="67">
        <v>68.599999999999994</v>
      </c>
      <c r="D28" s="68">
        <v>5.5</v>
      </c>
      <c r="E28" s="68">
        <v>17.3</v>
      </c>
      <c r="F28" s="68">
        <v>8.3000000000000007</v>
      </c>
      <c r="G28" s="69">
        <v>0.4</v>
      </c>
    </row>
    <row r="29" spans="1:7" x14ac:dyDescent="0.2">
      <c r="A29" s="45" t="str">
        <f>VLOOKUP("&lt;Zeilentitel_2.9&gt;",Uebersetzungen!$B$3:$E$302,Uebersetzungen!$B$2+1,FALSE)</f>
        <v>2006-2010 erbaut</v>
      </c>
      <c r="B29" s="13">
        <v>67567</v>
      </c>
      <c r="C29" s="67">
        <v>66.5</v>
      </c>
      <c r="D29" s="68">
        <v>8.6</v>
      </c>
      <c r="E29" s="68">
        <v>14.3</v>
      </c>
      <c r="F29" s="68">
        <v>10.1</v>
      </c>
      <c r="G29" s="69">
        <v>0.5</v>
      </c>
    </row>
    <row r="30" spans="1:7" x14ac:dyDescent="0.2">
      <c r="A30" s="45" t="str">
        <f>VLOOKUP("&lt;Zeilentitel_2.10&gt;",Uebersetzungen!$B$3:$E$302,Uebersetzungen!$B$2+1,FALSE)</f>
        <v>2011-2015 erbaut</v>
      </c>
      <c r="B30" s="13">
        <v>58113</v>
      </c>
      <c r="C30" s="67">
        <v>63</v>
      </c>
      <c r="D30" s="68">
        <v>11.9</v>
      </c>
      <c r="E30" s="68">
        <v>12.7</v>
      </c>
      <c r="F30" s="68">
        <v>11.5</v>
      </c>
      <c r="G30" s="69">
        <v>0.9</v>
      </c>
    </row>
    <row r="31" spans="1:7" x14ac:dyDescent="0.2">
      <c r="A31" s="45" t="str">
        <f>VLOOKUP("&lt;Zeilentitel_2.11&gt;",Uebersetzungen!$B$3:$E$302,Uebersetzungen!$B$2+1,FALSE)</f>
        <v>2016-2022 erbaut</v>
      </c>
      <c r="B31" s="13">
        <v>65941</v>
      </c>
      <c r="C31" s="67">
        <v>56</v>
      </c>
      <c r="D31" s="68">
        <v>16.3</v>
      </c>
      <c r="E31" s="68">
        <v>11</v>
      </c>
      <c r="F31" s="68">
        <v>12.7</v>
      </c>
      <c r="G31" s="69">
        <v>3.9</v>
      </c>
    </row>
    <row r="32" spans="1:7" x14ac:dyDescent="0.2">
      <c r="A32" s="43" t="str">
        <f>VLOOKUP("&lt;Zeilentitel_3&gt;",Uebersetzungen!$B$3:$E$302,Uebersetzungen!$B$2+1,FALSE)</f>
        <v>Geschosszahl</v>
      </c>
      <c r="B32" s="14"/>
      <c r="C32" s="79"/>
      <c r="D32" s="80"/>
      <c r="E32" s="80"/>
      <c r="F32" s="80"/>
      <c r="G32" s="81"/>
    </row>
    <row r="33" spans="1:7" x14ac:dyDescent="0.2">
      <c r="A33" s="47">
        <f>VLOOKUP("&lt;Zeilentitel_3.1&gt;",Uebersetzungen!$B$3:$E$302,Uebersetzungen!$B$2+1,FALSE)</f>
        <v>1</v>
      </c>
      <c r="B33" s="13">
        <v>103305</v>
      </c>
      <c r="C33" s="73">
        <v>73.900000000000006</v>
      </c>
      <c r="D33" s="74">
        <v>8</v>
      </c>
      <c r="E33" s="74">
        <v>13.4</v>
      </c>
      <c r="F33" s="74">
        <v>2.4</v>
      </c>
      <c r="G33" s="75">
        <v>2.2999999999999998</v>
      </c>
    </row>
    <row r="34" spans="1:7" x14ac:dyDescent="0.2">
      <c r="A34" s="45">
        <f>VLOOKUP("&lt;Zeilentitel_3.2&gt;",Uebersetzungen!$B$3:$E$302,Uebersetzungen!$B$2+1,FALSE)</f>
        <v>2</v>
      </c>
      <c r="B34" s="13">
        <v>698023</v>
      </c>
      <c r="C34" s="73">
        <v>74.599999999999994</v>
      </c>
      <c r="D34" s="74">
        <v>5.4</v>
      </c>
      <c r="E34" s="74">
        <v>16.7</v>
      </c>
      <c r="F34" s="74">
        <v>2.2000000000000002</v>
      </c>
      <c r="G34" s="75">
        <v>1.1000000000000001</v>
      </c>
    </row>
    <row r="35" spans="1:7" x14ac:dyDescent="0.2">
      <c r="A35" s="45">
        <f>VLOOKUP("&lt;Zeilentitel_3.3&gt;",Uebersetzungen!$B$3:$E$302,Uebersetzungen!$B$2+1,FALSE)</f>
        <v>3</v>
      </c>
      <c r="B35" s="13">
        <v>440097</v>
      </c>
      <c r="C35" s="73">
        <v>66.5</v>
      </c>
      <c r="D35" s="74">
        <v>11.4</v>
      </c>
      <c r="E35" s="74">
        <v>14.3</v>
      </c>
      <c r="F35" s="74">
        <v>6.8</v>
      </c>
      <c r="G35" s="75">
        <v>0.9</v>
      </c>
    </row>
    <row r="36" spans="1:7" x14ac:dyDescent="0.2">
      <c r="A36" s="45" t="str">
        <f>VLOOKUP("&lt;Zeilentitel_3.4&gt;",Uebersetzungen!$B$3:$E$302,Uebersetzungen!$B$2+1,FALSE)</f>
        <v>4-5</v>
      </c>
      <c r="B36" s="13">
        <v>164311</v>
      </c>
      <c r="C36" s="73">
        <v>40.9</v>
      </c>
      <c r="D36" s="74">
        <v>34.4</v>
      </c>
      <c r="E36" s="74">
        <v>7.1</v>
      </c>
      <c r="F36" s="74">
        <v>16.8</v>
      </c>
      <c r="G36" s="75">
        <v>0.9</v>
      </c>
    </row>
    <row r="37" spans="1:7" x14ac:dyDescent="0.2">
      <c r="A37" s="45" t="str">
        <f>VLOOKUP("&lt;Zeilentitel_3.5&gt;",Uebersetzungen!$B$3:$E$302,Uebersetzungen!$B$2+1,FALSE)</f>
        <v>6-7</v>
      </c>
      <c r="B37" s="13">
        <v>24558</v>
      </c>
      <c r="C37" s="73">
        <v>24.5</v>
      </c>
      <c r="D37" s="74">
        <v>53.2</v>
      </c>
      <c r="E37" s="74">
        <v>5.3</v>
      </c>
      <c r="F37" s="74">
        <v>16.2</v>
      </c>
      <c r="G37" s="75">
        <v>0.8</v>
      </c>
    </row>
    <row r="38" spans="1:7" ht="13.5" thickBot="1" x14ac:dyDescent="0.25">
      <c r="A38" s="48" t="str">
        <f>VLOOKUP("&lt;Zeilentitel_3.6&gt;",Uebersetzungen!$B$3:$E$302,Uebersetzungen!$B$2+1,FALSE)</f>
        <v>8+</v>
      </c>
      <c r="B38" s="49">
        <v>8461</v>
      </c>
      <c r="C38" s="82">
        <v>12.7</v>
      </c>
      <c r="D38" s="83">
        <v>66.7</v>
      </c>
      <c r="E38" s="83">
        <v>2.8</v>
      </c>
      <c r="F38" s="83">
        <v>16.8</v>
      </c>
      <c r="G38" s="84">
        <v>1</v>
      </c>
    </row>
    <row r="39" spans="1:7" x14ac:dyDescent="0.2">
      <c r="A39" s="56"/>
      <c r="B39" s="11"/>
      <c r="C39" s="11"/>
      <c r="D39" s="11"/>
      <c r="E39" s="11"/>
      <c r="F39" s="11"/>
      <c r="G39" s="11"/>
    </row>
    <row r="40" spans="1:7" ht="13.5" thickBot="1" x14ac:dyDescent="0.25">
      <c r="A40" s="7"/>
      <c r="B40" s="6"/>
      <c r="C40" s="6"/>
      <c r="D40" s="6"/>
      <c r="E40" s="6"/>
      <c r="F40" s="6"/>
      <c r="G40" s="6"/>
    </row>
    <row r="41" spans="1:7" x14ac:dyDescent="0.2">
      <c r="A41" s="39"/>
      <c r="B41" s="101" t="str">
        <f>VLOOKUP("&lt;SpaltenTitel_1.1&gt;",Uebersetzungen!$B$3:$E$302,Uebersetzungen!$B$2+1,FALSE)</f>
        <v>Total</v>
      </c>
      <c r="C41" s="52" t="str">
        <f>VLOOKUP("&lt;SpaltenTitel_1.2&gt;",Uebersetzungen!$B$3:$E$302,Uebersetzungen!$B$2+1,FALSE)</f>
        <v>Eigentümertyp</v>
      </c>
      <c r="D41" s="53"/>
      <c r="E41" s="53"/>
      <c r="F41" s="53"/>
      <c r="G41" s="54"/>
    </row>
    <row r="42" spans="1:7" s="37" customFormat="1" ht="25.5" x14ac:dyDescent="0.2">
      <c r="A42" s="55" t="str">
        <f>VLOOKUP("&lt;SpaltenTitel_2&gt;",Uebersetzungen!$B$3:$E$302,Uebersetzungen!$B$2+1,FALSE)</f>
        <v>Graubünden</v>
      </c>
      <c r="B42" s="102"/>
      <c r="C42" s="38" t="str">
        <f>VLOOKUP("&lt;SpaltenTitel_1.3&gt;",Uebersetzungen!$B$3:$E$302,Uebersetzungen!$B$2+1,FALSE)</f>
        <v>Natürliche Person(en)</v>
      </c>
      <c r="D42" s="38" t="str">
        <f>VLOOKUP("&lt;SpaltenTitel_1.4&gt;",Uebersetzungen!$B$3:$E$302,Uebersetzungen!$B$2+1,FALSE)</f>
        <v>Juristische Person</v>
      </c>
      <c r="E42" s="38" t="str">
        <f>VLOOKUP("&lt;SpaltenTitel_1.5&gt;",Uebersetzungen!$B$3:$E$302,Uebersetzungen!$B$2+1,FALSE)</f>
        <v>Gemeinschaft (1)</v>
      </c>
      <c r="F42" s="38" t="str">
        <f>VLOOKUP("&lt;SpaltenTitel_1.6&gt;",Uebersetzungen!$B$3:$E$302,Uebersetzungen!$B$2+1,FALSE)</f>
        <v>Gemischt (2)</v>
      </c>
      <c r="G42" s="40" t="str">
        <f>VLOOKUP("&lt;SpaltenTitel_1.7&gt;",Uebersetzungen!$B$3:$E$302,Uebersetzungen!$B$2+1,FALSE)</f>
        <v>Unbekannt (3)</v>
      </c>
    </row>
    <row r="43" spans="1:7" ht="12.75" customHeight="1" x14ac:dyDescent="0.2">
      <c r="A43" s="41"/>
      <c r="B43" s="103"/>
      <c r="C43" s="10" t="s">
        <v>160</v>
      </c>
      <c r="D43" s="10" t="s">
        <v>160</v>
      </c>
      <c r="E43" s="10" t="s">
        <v>160</v>
      </c>
      <c r="F43" s="10" t="s">
        <v>160</v>
      </c>
      <c r="G43" s="42" t="s">
        <v>160</v>
      </c>
    </row>
    <row r="44" spans="1:7" x14ac:dyDescent="0.2">
      <c r="A44" s="50" t="str">
        <f>VLOOKUP("&lt;Zeilentitel_1&gt;",Uebersetzungen!$B$3:$E$302,Uebersetzungen!$B$2+1,FALSE)</f>
        <v>Total</v>
      </c>
      <c r="B44" s="51">
        <v>73158</v>
      </c>
      <c r="C44" s="70">
        <v>74.900000000000006</v>
      </c>
      <c r="D44" s="71">
        <v>9.8000000000000007</v>
      </c>
      <c r="E44" s="71">
        <v>4.5</v>
      </c>
      <c r="F44" s="71">
        <v>7</v>
      </c>
      <c r="G44" s="72">
        <v>3.8</v>
      </c>
    </row>
    <row r="45" spans="1:7" x14ac:dyDescent="0.2">
      <c r="A45" s="45" t="str">
        <f>VLOOKUP("&lt;Zeilentitel_1.2&gt;",Uebersetzungen!$B$3:$E$30,Uebersetzungen!$B$2+1,FALSE)</f>
        <v>Einfamilienhäuser</v>
      </c>
      <c r="B45" s="13">
        <v>35824</v>
      </c>
      <c r="C45" s="73">
        <v>86.5</v>
      </c>
      <c r="D45" s="74">
        <v>4.0999999999999996</v>
      </c>
      <c r="E45" s="74">
        <v>5.2</v>
      </c>
      <c r="F45" s="74">
        <v>1.4</v>
      </c>
      <c r="G45" s="75">
        <v>2.8</v>
      </c>
    </row>
    <row r="46" spans="1:7" x14ac:dyDescent="0.2">
      <c r="A46" s="45" t="str">
        <f>VLOOKUP("&lt;Zeilentitel_1.3&gt;",Uebersetzungen!$B$3:$E$30,Uebersetzungen!$B$2+1,FALSE)</f>
        <v>Mehrfamilienhäuser</v>
      </c>
      <c r="B46" s="13">
        <v>24005</v>
      </c>
      <c r="C46" s="73">
        <v>66.599999999999994</v>
      </c>
      <c r="D46" s="74">
        <v>9.1</v>
      </c>
      <c r="E46" s="74">
        <v>3.9</v>
      </c>
      <c r="F46" s="74">
        <v>15.6</v>
      </c>
      <c r="G46" s="75">
        <v>4.8</v>
      </c>
    </row>
    <row r="47" spans="1:7" x14ac:dyDescent="0.2">
      <c r="A47" s="44" t="str">
        <f>VLOOKUP("&lt;Zeilentitel_1.4&gt;",Uebersetzungen!$B$3:$E$30,Uebersetzungen!$B$2+1,FALSE)</f>
        <v>Wohngebäude mit Nebennutzung</v>
      </c>
      <c r="B47" s="12">
        <v>6935</v>
      </c>
      <c r="C47" s="76">
        <v>68.7</v>
      </c>
      <c r="D47" s="77">
        <v>13.7</v>
      </c>
      <c r="E47" s="77">
        <v>4.2</v>
      </c>
      <c r="F47" s="77">
        <v>8.9</v>
      </c>
      <c r="G47" s="78">
        <v>4.5999999999999996</v>
      </c>
    </row>
    <row r="48" spans="1:7" x14ac:dyDescent="0.2">
      <c r="A48" s="44" t="str">
        <f>VLOOKUP("&lt;Zeilentitel_1.5&gt;",Uebersetzungen!$B$3:$E$30,Uebersetzungen!$B$2+1,FALSE)</f>
        <v>Gebäude mit teilweiser Wohnnutzung</v>
      </c>
      <c r="B48" s="12">
        <v>6394</v>
      </c>
      <c r="C48" s="76">
        <v>48</v>
      </c>
      <c r="D48" s="77">
        <v>40.299999999999997</v>
      </c>
      <c r="E48" s="77">
        <v>3.3</v>
      </c>
      <c r="F48" s="77">
        <v>4.2</v>
      </c>
      <c r="G48" s="78">
        <v>4.3</v>
      </c>
    </row>
    <row r="49" spans="1:7" x14ac:dyDescent="0.2">
      <c r="A49" s="43" t="str">
        <f>VLOOKUP("&lt;Zeilentitel_2&gt;",Uebersetzungen!$B$3:$E$302,Uebersetzungen!$B$2+1,FALSE)</f>
        <v>Bauperiode</v>
      </c>
      <c r="B49" s="14"/>
      <c r="C49" s="79"/>
      <c r="D49" s="80"/>
      <c r="E49" s="80"/>
      <c r="F49" s="80"/>
      <c r="G49" s="81"/>
    </row>
    <row r="50" spans="1:7" x14ac:dyDescent="0.2">
      <c r="A50" s="44" t="str">
        <f>VLOOKUP("&lt;Zeilentitel_2.1&gt;",Uebersetzungen!$B$3:$E$302,Uebersetzungen!$B$2+1,FALSE)</f>
        <v>vor 1919 erbaut</v>
      </c>
      <c r="B50" s="13">
        <v>20403</v>
      </c>
      <c r="C50" s="67">
        <v>76.8</v>
      </c>
      <c r="D50" s="68">
        <v>10.5</v>
      </c>
      <c r="E50" s="68">
        <v>5.4</v>
      </c>
      <c r="F50" s="68">
        <v>2.9</v>
      </c>
      <c r="G50" s="69">
        <v>4.4000000000000004</v>
      </c>
    </row>
    <row r="51" spans="1:7" x14ac:dyDescent="0.2">
      <c r="A51" s="45" t="str">
        <f>VLOOKUP("&lt;Zeilentitel_2.2&gt;",Uebersetzungen!$B$3:$E$302,Uebersetzungen!$B$2+1,FALSE)</f>
        <v>1919-1945 erbaut</v>
      </c>
      <c r="B51" s="13">
        <v>5684</v>
      </c>
      <c r="C51" s="67">
        <v>72.599999999999994</v>
      </c>
      <c r="D51" s="68">
        <v>13.2</v>
      </c>
      <c r="E51" s="68">
        <v>5.6</v>
      </c>
      <c r="F51" s="68">
        <v>2.8</v>
      </c>
      <c r="G51" s="69">
        <v>5.7</v>
      </c>
    </row>
    <row r="52" spans="1:7" x14ac:dyDescent="0.2">
      <c r="A52" s="45" t="str">
        <f>VLOOKUP("&lt;Zeilentitel_2.3&gt;",Uebersetzungen!$B$3:$E$302,Uebersetzungen!$B$2+1,FALSE)</f>
        <v>1946-1960 erbaut</v>
      </c>
      <c r="B52" s="13">
        <v>5191</v>
      </c>
      <c r="C52" s="67">
        <v>74.599999999999994</v>
      </c>
      <c r="D52" s="68">
        <v>13.7</v>
      </c>
      <c r="E52" s="68">
        <v>6.5</v>
      </c>
      <c r="F52" s="68">
        <v>2.4</v>
      </c>
      <c r="G52" s="69">
        <v>2.7</v>
      </c>
    </row>
    <row r="53" spans="1:7" x14ac:dyDescent="0.2">
      <c r="A53" s="45" t="str">
        <f>VLOOKUP("&lt;Zeilentitel_2.4&gt;",Uebersetzungen!$B$3:$E$302,Uebersetzungen!$B$2+1,FALSE)</f>
        <v>1961-1970 erbaut</v>
      </c>
      <c r="B53" s="13">
        <v>7515</v>
      </c>
      <c r="C53" s="67">
        <v>73</v>
      </c>
      <c r="D53" s="68">
        <v>11.4</v>
      </c>
      <c r="E53" s="68">
        <v>6.7</v>
      </c>
      <c r="F53" s="68">
        <v>5.6</v>
      </c>
      <c r="G53" s="69">
        <v>3.2</v>
      </c>
    </row>
    <row r="54" spans="1:7" x14ac:dyDescent="0.2">
      <c r="A54" s="45" t="str">
        <f>VLOOKUP("&lt;Zeilentitel_2.5&gt;",Uebersetzungen!$B$3:$E$302,Uebersetzungen!$B$2+1,FALSE)</f>
        <v>1971-1980 erbaut</v>
      </c>
      <c r="B54" s="13">
        <v>8203</v>
      </c>
      <c r="C54" s="67">
        <v>71.400000000000006</v>
      </c>
      <c r="D54" s="68">
        <v>8.3000000000000007</v>
      </c>
      <c r="E54" s="68">
        <v>4.8</v>
      </c>
      <c r="F54" s="68">
        <v>11.5</v>
      </c>
      <c r="G54" s="69">
        <v>3.9</v>
      </c>
    </row>
    <row r="55" spans="1:7" x14ac:dyDescent="0.2">
      <c r="A55" s="45" t="str">
        <f>VLOOKUP("&lt;Zeilentitel_2.6&gt;",Uebersetzungen!$B$3:$E$302,Uebersetzungen!$B$2+1,FALSE)</f>
        <v>1981-1990 erbaut</v>
      </c>
      <c r="B55" s="13">
        <v>8061</v>
      </c>
      <c r="C55" s="67">
        <v>75.7</v>
      </c>
      <c r="D55" s="68">
        <v>6.5</v>
      </c>
      <c r="E55" s="68">
        <v>3.1</v>
      </c>
      <c r="F55" s="68">
        <v>11.3</v>
      </c>
      <c r="G55" s="69">
        <v>3.5</v>
      </c>
    </row>
    <row r="56" spans="1:7" x14ac:dyDescent="0.2">
      <c r="A56" s="45" t="str">
        <f>VLOOKUP("&lt;Zeilentitel_2.7&gt;",Uebersetzungen!$B$3:$E$302,Uebersetzungen!$B$2+1,FALSE)</f>
        <v>1991-2000 erbaut</v>
      </c>
      <c r="B56" s="13">
        <v>6926</v>
      </c>
      <c r="C56" s="67">
        <v>78</v>
      </c>
      <c r="D56" s="68">
        <v>6.7</v>
      </c>
      <c r="E56" s="68">
        <v>2.2999999999999998</v>
      </c>
      <c r="F56" s="68">
        <v>10.199999999999999</v>
      </c>
      <c r="G56" s="69">
        <v>2.8</v>
      </c>
    </row>
    <row r="57" spans="1:7" x14ac:dyDescent="0.2">
      <c r="A57" s="45" t="str">
        <f>VLOOKUP("&lt;Zeilentitel_2.8&gt;",Uebersetzungen!$B$3:$E$302,Uebersetzungen!$B$2+1,FALSE)</f>
        <v>2001-2005 erbaut</v>
      </c>
      <c r="B57" s="13">
        <v>2696</v>
      </c>
      <c r="C57" s="67">
        <v>80.3</v>
      </c>
      <c r="D57" s="68">
        <v>5.9</v>
      </c>
      <c r="E57" s="68">
        <v>1.9</v>
      </c>
      <c r="F57" s="68">
        <v>9.3000000000000007</v>
      </c>
      <c r="G57" s="69">
        <v>2.5</v>
      </c>
    </row>
    <row r="58" spans="1:7" x14ac:dyDescent="0.2">
      <c r="A58" s="45" t="str">
        <f>VLOOKUP("&lt;Zeilentitel_2.9&gt;",Uebersetzungen!$B$3:$E$302,Uebersetzungen!$B$2+1,FALSE)</f>
        <v>2006-2010 erbaut</v>
      </c>
      <c r="B58" s="13">
        <v>2873</v>
      </c>
      <c r="C58" s="67">
        <v>74.2</v>
      </c>
      <c r="D58" s="68">
        <v>9.1999999999999993</v>
      </c>
      <c r="E58" s="68">
        <v>1.9</v>
      </c>
      <c r="F58" s="68">
        <v>11.6</v>
      </c>
      <c r="G58" s="69">
        <v>3.1</v>
      </c>
    </row>
    <row r="59" spans="1:7" x14ac:dyDescent="0.2">
      <c r="A59" s="45" t="str">
        <f>VLOOKUP("&lt;Zeilentitel_2.10&gt;",Uebersetzungen!$B$3:$E$302,Uebersetzungen!$B$2+1,FALSE)</f>
        <v>2011-2015 erbaut</v>
      </c>
      <c r="B59" s="13">
        <v>2893</v>
      </c>
      <c r="C59" s="67">
        <v>71.8</v>
      </c>
      <c r="D59" s="68">
        <v>10</v>
      </c>
      <c r="E59" s="68">
        <v>1.9</v>
      </c>
      <c r="F59" s="68">
        <v>12.9</v>
      </c>
      <c r="G59" s="69">
        <v>3.4</v>
      </c>
    </row>
    <row r="60" spans="1:7" x14ac:dyDescent="0.2">
      <c r="A60" s="45" t="str">
        <f>VLOOKUP("&lt;Zeilentitel_2.11&gt;",Uebersetzungen!$B$3:$E$302,Uebersetzungen!$B$2+1,FALSE)</f>
        <v>2016-2022 erbaut</v>
      </c>
      <c r="B60" s="13">
        <v>2713</v>
      </c>
      <c r="C60" s="67">
        <v>70.400000000000006</v>
      </c>
      <c r="D60" s="68">
        <v>12.8</v>
      </c>
      <c r="E60" s="68">
        <v>2.2999999999999998</v>
      </c>
      <c r="F60" s="68">
        <v>11</v>
      </c>
      <c r="G60" s="69">
        <v>3.4</v>
      </c>
    </row>
    <row r="61" spans="1:7" x14ac:dyDescent="0.2">
      <c r="A61" s="43" t="str">
        <f>VLOOKUP("&lt;Zeilentitel_3&gt;",Uebersetzungen!$B$3:$E$302,Uebersetzungen!$B$2+1,FALSE)</f>
        <v>Geschosszahl</v>
      </c>
      <c r="B61" s="14"/>
      <c r="C61" s="79"/>
      <c r="D61" s="80"/>
      <c r="E61" s="80"/>
      <c r="F61" s="80"/>
      <c r="G61" s="81"/>
    </row>
    <row r="62" spans="1:7" x14ac:dyDescent="0.2">
      <c r="A62" s="47">
        <f>VLOOKUP("&lt;Zeilentitel_3.1&gt;",Uebersetzungen!$B$3:$E$302,Uebersetzungen!$B$2+1,FALSE)</f>
        <v>1</v>
      </c>
      <c r="B62" s="13">
        <v>7634</v>
      </c>
      <c r="C62" s="73">
        <v>78.5</v>
      </c>
      <c r="D62" s="74">
        <v>10.1</v>
      </c>
      <c r="E62" s="74">
        <v>5.4</v>
      </c>
      <c r="F62" s="74">
        <v>1.2</v>
      </c>
      <c r="G62" s="75">
        <v>4.8</v>
      </c>
    </row>
    <row r="63" spans="1:7" x14ac:dyDescent="0.2">
      <c r="A63" s="45">
        <f>VLOOKUP("&lt;Zeilentitel_3.2&gt;",Uebersetzungen!$B$3:$E$302,Uebersetzungen!$B$2+1,FALSE)</f>
        <v>2</v>
      </c>
      <c r="B63" s="13">
        <v>31040</v>
      </c>
      <c r="C63" s="73">
        <v>83.4</v>
      </c>
      <c r="D63" s="74">
        <v>6</v>
      </c>
      <c r="E63" s="74">
        <v>5.2</v>
      </c>
      <c r="F63" s="74">
        <v>2.2999999999999998</v>
      </c>
      <c r="G63" s="75">
        <v>3.1</v>
      </c>
    </row>
    <row r="64" spans="1:7" x14ac:dyDescent="0.2">
      <c r="A64" s="45">
        <f>VLOOKUP("&lt;Zeilentitel_3.3&gt;",Uebersetzungen!$B$3:$E$302,Uebersetzungen!$B$2+1,FALSE)</f>
        <v>3</v>
      </c>
      <c r="B64" s="13">
        <v>23798</v>
      </c>
      <c r="C64" s="73">
        <v>76</v>
      </c>
      <c r="D64" s="74">
        <v>8.5</v>
      </c>
      <c r="E64" s="74">
        <v>3.9</v>
      </c>
      <c r="F64" s="74">
        <v>7.7</v>
      </c>
      <c r="G64" s="75">
        <v>3.9</v>
      </c>
    </row>
    <row r="65" spans="1:7" x14ac:dyDescent="0.2">
      <c r="A65" s="45" t="str">
        <f>VLOOKUP("&lt;Zeilentitel_3.4&gt;",Uebersetzungen!$B$3:$E$302,Uebersetzungen!$B$2+1,FALSE)</f>
        <v>4-5</v>
      </c>
      <c r="B65" s="13">
        <v>9767</v>
      </c>
      <c r="C65" s="73">
        <v>47.8</v>
      </c>
      <c r="D65" s="74">
        <v>22.2</v>
      </c>
      <c r="E65" s="74">
        <v>3.5</v>
      </c>
      <c r="F65" s="74">
        <v>21.6</v>
      </c>
      <c r="G65" s="75">
        <v>4.8</v>
      </c>
    </row>
    <row r="66" spans="1:7" x14ac:dyDescent="0.2">
      <c r="A66" s="45" t="str">
        <f>VLOOKUP("&lt;Zeilentitel_3.5&gt;",Uebersetzungen!$B$3:$E$302,Uebersetzungen!$B$2+1,FALSE)</f>
        <v>6-7</v>
      </c>
      <c r="B66" s="13">
        <v>745</v>
      </c>
      <c r="C66" s="73">
        <v>21.5</v>
      </c>
      <c r="D66" s="74">
        <v>38.299999999999997</v>
      </c>
      <c r="E66" s="74">
        <v>1.6</v>
      </c>
      <c r="F66" s="74">
        <v>36.9</v>
      </c>
      <c r="G66" s="75">
        <v>1.7</v>
      </c>
    </row>
    <row r="67" spans="1:7" ht="13.5" thickBot="1" x14ac:dyDescent="0.25">
      <c r="A67" s="48" t="str">
        <f>VLOOKUP("&lt;Zeilentitel_3.6&gt;",Uebersetzungen!$B$3:$E$302,Uebersetzungen!$B$2+1,FALSE)</f>
        <v>8+</v>
      </c>
      <c r="B67" s="49">
        <v>174</v>
      </c>
      <c r="C67" s="82">
        <v>7.5</v>
      </c>
      <c r="D67" s="83">
        <v>40.200000000000003</v>
      </c>
      <c r="E67" s="83">
        <v>4.5999999999999996</v>
      </c>
      <c r="F67" s="83">
        <v>42.5</v>
      </c>
      <c r="G67" s="84">
        <v>5.2</v>
      </c>
    </row>
    <row r="69" spans="1:7" x14ac:dyDescent="0.2">
      <c r="A69" s="8" t="str">
        <f>VLOOKUP("&lt;Legende_1&gt;",Uebersetzungen!$B$3:$E$323,Uebersetzungen!$B$2+1,FALSE)</f>
        <v>* Entfällt, weil trivial oder Begriffe nicht anwendbar</v>
      </c>
    </row>
    <row r="71" spans="1:7" ht="25.5" customHeight="1" x14ac:dyDescent="0.2">
      <c r="A71" s="35" t="str">
        <f>VLOOKUP("&lt;Legende_2&gt;",Uebersetzungen!$B$3:$E$323,Uebersetzungen!$B$2+1,FALSE)</f>
        <v>Die Statistik der Eigentümertypen der Gebäude wird erstellt, indem die Informationen zu den Wohngebäuden aus dem eidgenössischen Gebäude- und Wohnungsregister (GWR) mit den Grundbuchdaten zu einem oder mehreren Eigentümern verknüpft werden.</v>
      </c>
      <c r="B71" s="35"/>
      <c r="C71" s="35"/>
      <c r="D71" s="35"/>
      <c r="E71" s="35"/>
      <c r="F71" s="35"/>
      <c r="G71" s="35"/>
    </row>
    <row r="72" spans="1:7" ht="25.5" customHeight="1" x14ac:dyDescent="0.2">
      <c r="A72" s="35" t="str">
        <f>VLOOKUP("&lt;Legende_3&gt;",Uebersetzungen!$B$3:$E$323,Uebersetzungen!$B$2+1,FALSE)</f>
        <v>(1) Gemeinschaft: Form des kollektiven Eigentums, wobei jedes Mitglied im Besitz des gesamten Objekts ist. Zu den Gemeinschaften gehören einfache Gesellschaften, Erbengemeinschaften, Gütergemeinschaften und Gemeinderschaften.</v>
      </c>
      <c r="B72" s="35"/>
      <c r="C72" s="35"/>
      <c r="D72" s="35"/>
      <c r="E72" s="35"/>
      <c r="F72" s="35"/>
      <c r="G72" s="35"/>
    </row>
    <row r="73" spans="1:7" ht="25.5" customHeight="1" x14ac:dyDescent="0.2">
      <c r="A73" s="35" t="str">
        <f>VLOOKUP("&lt;Legende_4&gt;",Uebersetzungen!$B$3:$E$323,Uebersetzungen!$B$2+1,FALSE)</f>
        <v>(2) Gemischt: Eigentümertyp, dem Gebäude zugeordnet werden, die mindestens zwei verschiedene Eigentümertypen aufweisen. Da die Anteile jedes Eigentümertyps nicht immer bekannt sind, kann das Gebäude keiner der beiden Kategorien eindeutig zugeordnet werden.</v>
      </c>
      <c r="B73" s="35"/>
      <c r="C73" s="35"/>
      <c r="D73" s="35"/>
      <c r="E73" s="35"/>
      <c r="F73" s="35"/>
      <c r="G73" s="35"/>
    </row>
    <row r="74" spans="1:7" ht="25.5" customHeight="1" x14ac:dyDescent="0.2">
      <c r="A74" s="35" t="str">
        <f>VLOOKUP("&lt;Legende_5&gt;",Uebersetzungen!$B$3:$E$323,Uebersetzungen!$B$2+1,FALSE)</f>
        <v>(3) Unbekannt: Eigentümertyp, dem Gebäude zugeordnet werden, bei denen die Grundbücher keine Informationen zu den Eigentümern enthalten.</v>
      </c>
      <c r="B74" s="35"/>
      <c r="C74" s="35"/>
      <c r="D74" s="35"/>
      <c r="E74" s="35"/>
      <c r="F74" s="35"/>
      <c r="G74" s="35"/>
    </row>
    <row r="75" spans="1:7" ht="25.5" customHeight="1" x14ac:dyDescent="0.2">
      <c r="A75" s="35" t="str">
        <f>VLOOKUP("&lt;Legende_6&gt;",Uebersetzungen!$B$3:$E$323,Uebersetzungen!$B$2+1,FALSE)</f>
        <v>(4) Die Kantone Zürich und Wallis sind nicht in der Statistik berücksichtigt, weil die Qualität ihrer aktuellen Daten bzw. die Verknüpfungsmöglichkeiten mit dem GWR noch nicht ausreichen.</v>
      </c>
      <c r="B75" s="35"/>
      <c r="C75" s="35"/>
      <c r="D75" s="35"/>
      <c r="E75" s="35"/>
      <c r="F75" s="35"/>
      <c r="G75" s="35"/>
    </row>
    <row r="77" spans="1:7" x14ac:dyDescent="0.2">
      <c r="A77" s="8" t="str">
        <f>VLOOKUP("&lt;Quelle_1&gt;",Uebersetzungen!$B$3:$E$323,Uebersetzungen!$B$2+1,FALSE)</f>
        <v>Quelle: BFS (Gebäude- und Wohnungsstatistik)</v>
      </c>
    </row>
    <row r="78" spans="1:7" x14ac:dyDescent="0.2">
      <c r="A78" s="8" t="str">
        <f>VLOOKUP("&lt;Aktualisierung&gt;",Uebersetzungen!$B$3:$E$323,Uebersetzungen!$B$2+1,FALSE)</f>
        <v>Letztmals aktualisiert am: 14.03.2024</v>
      </c>
    </row>
    <row r="79" spans="1:7" x14ac:dyDescent="0.2">
      <c r="A79" s="9"/>
    </row>
  </sheetData>
  <sheetProtection sheet="1" objects="1" scenarios="1"/>
  <mergeCells count="10">
    <mergeCell ref="A7:D7"/>
    <mergeCell ref="A75:G75"/>
    <mergeCell ref="B12:B14"/>
    <mergeCell ref="B41:B43"/>
    <mergeCell ref="C41:G41"/>
    <mergeCell ref="A71:G71"/>
    <mergeCell ref="A72:G72"/>
    <mergeCell ref="A73:G73"/>
    <mergeCell ref="A74:G74"/>
    <mergeCell ref="C12:G12"/>
  </mergeCells>
  <pageMargins left="0.7" right="0.7" top="0.78740157499999996" bottom="0.78740157499999996" header="0.3" footer="0.3"/>
  <pageSetup paperSize="9" scale="56" orientation="portrait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0" r:id="rId4" name="Option Button 696">
              <controlPr defaultSize="0" autoFill="0" autoLine="0" autoPict="0">
                <anchor moveWithCells="1">
                  <from>
                    <xdr:col>4</xdr:col>
                    <xdr:colOff>247650</xdr:colOff>
                    <xdr:row>1</xdr:row>
                    <xdr:rowOff>114300</xdr:rowOff>
                  </from>
                  <to>
                    <xdr:col>5</xdr:col>
                    <xdr:colOff>266700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5" name="Option Button 697">
              <controlPr defaultSize="0" autoFill="0" autoLine="0" autoPict="0">
                <anchor moveWithCells="1">
                  <from>
                    <xdr:col>4</xdr:col>
                    <xdr:colOff>247650</xdr:colOff>
                    <xdr:row>2</xdr:row>
                    <xdr:rowOff>104775</xdr:rowOff>
                  </from>
                  <to>
                    <xdr:col>5</xdr:col>
                    <xdr:colOff>581025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" name="Option Button 698">
              <controlPr defaultSize="0" autoFill="0" autoLine="0" autoPict="0">
                <anchor moveWithCells="1">
                  <from>
                    <xdr:col>4</xdr:col>
                    <xdr:colOff>247650</xdr:colOff>
                    <xdr:row>3</xdr:row>
                    <xdr:rowOff>66675</xdr:rowOff>
                  </from>
                  <to>
                    <xdr:col>5</xdr:col>
                    <xdr:colOff>266700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zoomScaleNormal="100" workbookViewId="0"/>
  </sheetViews>
  <sheetFormatPr baseColWidth="10" defaultRowHeight="12.75" x14ac:dyDescent="0.2"/>
  <cols>
    <col min="1" max="1" width="38.5703125" style="8" customWidth="1"/>
    <col min="2" max="7" width="13.7109375" style="8" customWidth="1"/>
    <col min="8" max="16384" width="11.42578125" style="8"/>
  </cols>
  <sheetData>
    <row r="1" spans="1:7" s="4" customFormat="1" x14ac:dyDescent="0.2"/>
    <row r="2" spans="1:7" s="4" customFormat="1" ht="15.75" x14ac:dyDescent="0.25">
      <c r="B2" s="33"/>
    </row>
    <row r="3" spans="1:7" s="4" customFormat="1" ht="15.75" x14ac:dyDescent="0.25">
      <c r="B3" s="33"/>
    </row>
    <row r="4" spans="1:7" s="4" customFormat="1" ht="15.75" x14ac:dyDescent="0.25">
      <c r="B4" s="33"/>
    </row>
    <row r="5" spans="1:7" s="4" customFormat="1" x14ac:dyDescent="0.2"/>
    <row r="6" spans="1:7" s="2" customFormat="1" ht="6" customHeight="1" x14ac:dyDescent="0.2">
      <c r="A6" s="4"/>
      <c r="B6" s="4"/>
      <c r="C6" s="4"/>
      <c r="D6" s="4"/>
      <c r="E6" s="4"/>
      <c r="F6" s="4"/>
      <c r="G6" s="4"/>
    </row>
    <row r="7" spans="1:7" s="4" customFormat="1" ht="15.75" customHeight="1" x14ac:dyDescent="0.2">
      <c r="A7" s="36" t="str">
        <f>VLOOKUP("&lt;Fachbereich&gt;",Uebersetzungen!$B$3:$E$30,Uebersetzungen!$B$2+1,FALSE)</f>
        <v>Daten &amp; Statistik</v>
      </c>
      <c r="B7" s="36"/>
      <c r="C7" s="36"/>
      <c r="D7" s="36"/>
      <c r="E7" s="34"/>
      <c r="F7" s="5"/>
      <c r="G7" s="5"/>
    </row>
    <row r="9" spans="1:7" ht="18" x14ac:dyDescent="0.25">
      <c r="A9" s="15" t="str">
        <f>VLOOKUP("&lt;T2Titel&gt;",Uebersetzungen!$B$3:$E$329,Uebersetzungen!$B$2+1,FALSE)</f>
        <v>Gebäude nach Eigentümertyp und Kanton 2022</v>
      </c>
      <c r="B9" s="3"/>
      <c r="C9" s="3"/>
      <c r="D9" s="3"/>
      <c r="E9" s="3"/>
      <c r="F9" s="3"/>
      <c r="G9" s="1"/>
    </row>
    <row r="10" spans="1:7" x14ac:dyDescent="0.2">
      <c r="A10" s="7"/>
      <c r="B10" s="6"/>
      <c r="C10" s="6"/>
      <c r="D10" s="6"/>
      <c r="E10" s="6"/>
      <c r="F10" s="6"/>
      <c r="G10" s="6"/>
    </row>
    <row r="11" spans="1:7" ht="13.5" thickBot="1" x14ac:dyDescent="0.25">
      <c r="A11" s="7"/>
      <c r="B11" s="6"/>
      <c r="C11" s="6"/>
      <c r="D11" s="6"/>
      <c r="E11" s="6"/>
      <c r="F11" s="6"/>
      <c r="G11" s="6"/>
    </row>
    <row r="12" spans="1:7" x14ac:dyDescent="0.2">
      <c r="A12" s="39"/>
      <c r="B12" s="101" t="str">
        <f>VLOOKUP("&lt;SpaltenTitel_1.1&gt;",Uebersetzungen!$B$3:$E$302,Uebersetzungen!$B$2+1,FALSE)</f>
        <v>Total</v>
      </c>
      <c r="C12" s="52" t="str">
        <f>VLOOKUP("&lt;SpaltenTitel_1.2&gt;",Uebersetzungen!$B$3:$E$302,Uebersetzungen!$B$2+1,FALSE)</f>
        <v>Eigentümertyp</v>
      </c>
      <c r="D12" s="53"/>
      <c r="E12" s="53"/>
      <c r="F12" s="53"/>
      <c r="G12" s="54"/>
    </row>
    <row r="13" spans="1:7" s="37" customFormat="1" ht="25.5" x14ac:dyDescent="0.2">
      <c r="A13" s="55"/>
      <c r="B13" s="102"/>
      <c r="C13" s="38" t="str">
        <f>VLOOKUP("&lt;SpaltenTitel_1.3&gt;",Uebersetzungen!$B$3:$E$302,Uebersetzungen!$B$2+1,FALSE)</f>
        <v>Natürliche Person(en)</v>
      </c>
      <c r="D13" s="38" t="str">
        <f>VLOOKUP("&lt;SpaltenTitel_1.4&gt;",Uebersetzungen!$B$3:$E$302,Uebersetzungen!$B$2+1,FALSE)</f>
        <v>Juristische Person</v>
      </c>
      <c r="E13" s="38" t="str">
        <f>VLOOKUP("&lt;SpaltenTitel_1.5&gt;",Uebersetzungen!$B$3:$E$302,Uebersetzungen!$B$2+1,FALSE)</f>
        <v>Gemeinschaft (1)</v>
      </c>
      <c r="F13" s="38" t="str">
        <f>VLOOKUP("&lt;SpaltenTitel_1.6&gt;",Uebersetzungen!$B$3:$E$302,Uebersetzungen!$B$2+1,FALSE)</f>
        <v>Gemischt (2)</v>
      </c>
      <c r="G13" s="40" t="str">
        <f>VLOOKUP("&lt;SpaltenTitel_1.7&gt;",Uebersetzungen!$B$3:$E$302,Uebersetzungen!$B$2+1,FALSE)</f>
        <v>Unbekannt (3)</v>
      </c>
    </row>
    <row r="14" spans="1:7" ht="12.75" customHeight="1" x14ac:dyDescent="0.2">
      <c r="A14" s="41"/>
      <c r="B14" s="103"/>
      <c r="C14" s="10" t="s">
        <v>160</v>
      </c>
      <c r="D14" s="10" t="s">
        <v>160</v>
      </c>
      <c r="E14" s="10" t="s">
        <v>160</v>
      </c>
      <c r="F14" s="10" t="s">
        <v>160</v>
      </c>
      <c r="G14" s="42" t="s">
        <v>160</v>
      </c>
    </row>
    <row r="15" spans="1:7" x14ac:dyDescent="0.2">
      <c r="A15" s="45" t="str">
        <f>VLOOKUP("&lt;T2Zeilentitel_1&gt;",Uebersetzungen!$B$3:$E$302,Uebersetzungen!$B$2+1,FALSE)</f>
        <v>Total (Schweiz ohne ZH und VS) (4)</v>
      </c>
      <c r="B15" s="13">
        <v>1438755</v>
      </c>
      <c r="C15" s="67">
        <v>67</v>
      </c>
      <c r="D15" s="68">
        <v>11.9</v>
      </c>
      <c r="E15" s="68">
        <v>14.4</v>
      </c>
      <c r="F15" s="68">
        <v>5.6</v>
      </c>
      <c r="G15" s="69">
        <v>1.1000000000000001</v>
      </c>
    </row>
    <row r="16" spans="1:7" x14ac:dyDescent="0.2">
      <c r="A16" s="45" t="str">
        <f>VLOOKUP("&lt;T2Zeilentitel_2&gt;",Uebersetzungen!$B$3:$E$302,Uebersetzungen!$B$2+1,FALSE)</f>
        <v>Zürich</v>
      </c>
      <c r="B16" s="13"/>
      <c r="C16" s="67"/>
      <c r="D16" s="68"/>
      <c r="E16" s="68"/>
      <c r="F16" s="68"/>
      <c r="G16" s="69"/>
    </row>
    <row r="17" spans="1:7" x14ac:dyDescent="0.2">
      <c r="A17" s="45" t="str">
        <f>VLOOKUP("&lt;T2Zeilentitel_3&gt;",Uebersetzungen!$B$3:$E$302,Uebersetzungen!$B$2+1,FALSE)</f>
        <v>Bern</v>
      </c>
      <c r="B17" s="13">
        <v>238956</v>
      </c>
      <c r="C17" s="67">
        <v>53.7</v>
      </c>
      <c r="D17" s="68">
        <v>11.6</v>
      </c>
      <c r="E17" s="68">
        <v>27.7</v>
      </c>
      <c r="F17" s="68">
        <v>6.7</v>
      </c>
      <c r="G17" s="69">
        <v>0.3</v>
      </c>
    </row>
    <row r="18" spans="1:7" x14ac:dyDescent="0.2">
      <c r="A18" s="45" t="str">
        <f>VLOOKUP("&lt;T2Zeilentitel_4&gt;",Uebersetzungen!$B$3:$E$302,Uebersetzungen!$B$2+1,FALSE)</f>
        <v>Luzern</v>
      </c>
      <c r="B18" s="13">
        <v>70220</v>
      </c>
      <c r="C18" s="67">
        <v>73.5</v>
      </c>
      <c r="D18" s="68">
        <v>15.4</v>
      </c>
      <c r="E18" s="68">
        <v>6</v>
      </c>
      <c r="F18" s="68">
        <v>5.0999999999999996</v>
      </c>
      <c r="G18" s="69">
        <v>0.1</v>
      </c>
    </row>
    <row r="19" spans="1:7" x14ac:dyDescent="0.2">
      <c r="A19" s="45" t="str">
        <f>VLOOKUP("&lt;T2Zeilentitel_5&gt;",Uebersetzungen!$B$3:$E$302,Uebersetzungen!$B$2+1,FALSE)</f>
        <v>Uri</v>
      </c>
      <c r="B19" s="13">
        <v>10275</v>
      </c>
      <c r="C19" s="67">
        <v>76.8</v>
      </c>
      <c r="D19" s="68">
        <v>9.3000000000000007</v>
      </c>
      <c r="E19" s="68">
        <v>8.8000000000000007</v>
      </c>
      <c r="F19" s="68">
        <v>4.5</v>
      </c>
      <c r="G19" s="69">
        <v>0.5</v>
      </c>
    </row>
    <row r="20" spans="1:7" x14ac:dyDescent="0.2">
      <c r="A20" s="45" t="str">
        <f>VLOOKUP("&lt;T2Zeilentitel_6&gt;",Uebersetzungen!$B$3:$E$302,Uebersetzungen!$B$2+1,FALSE)</f>
        <v>Schwyz</v>
      </c>
      <c r="B20" s="13">
        <v>32306</v>
      </c>
      <c r="C20" s="67">
        <v>79</v>
      </c>
      <c r="D20" s="68">
        <v>11.6</v>
      </c>
      <c r="E20" s="68">
        <v>4.2</v>
      </c>
      <c r="F20" s="68">
        <v>4.9000000000000004</v>
      </c>
      <c r="G20" s="69">
        <v>0.2</v>
      </c>
    </row>
    <row r="21" spans="1:7" x14ac:dyDescent="0.2">
      <c r="A21" s="45" t="str">
        <f>VLOOKUP("&lt;T2Zeilentitel_7&gt;",Uebersetzungen!$B$3:$E$302,Uebersetzungen!$B$2+1,FALSE)</f>
        <v>Obwalden</v>
      </c>
      <c r="B21" s="13">
        <v>9497</v>
      </c>
      <c r="C21" s="67">
        <v>77.3</v>
      </c>
      <c r="D21" s="68">
        <v>11.1</v>
      </c>
      <c r="E21" s="68">
        <v>4.7</v>
      </c>
      <c r="F21" s="68">
        <v>6.2</v>
      </c>
      <c r="G21" s="69">
        <v>0.6</v>
      </c>
    </row>
    <row r="22" spans="1:7" x14ac:dyDescent="0.2">
      <c r="A22" s="45" t="str">
        <f>VLOOKUP("&lt;T2Zeilentitel_8&gt;",Uebersetzungen!$B$3:$E$302,Uebersetzungen!$B$2+1,FALSE)</f>
        <v>Nidwalden</v>
      </c>
      <c r="B22" s="13">
        <v>8042</v>
      </c>
      <c r="C22" s="67">
        <v>77.2</v>
      </c>
      <c r="D22" s="68">
        <v>12.7</v>
      </c>
      <c r="E22" s="68">
        <v>3.9</v>
      </c>
      <c r="F22" s="68">
        <v>5.8</v>
      </c>
      <c r="G22" s="69">
        <v>0.4</v>
      </c>
    </row>
    <row r="23" spans="1:7" x14ac:dyDescent="0.2">
      <c r="A23" s="45" t="str">
        <f>VLOOKUP("&lt;T2Zeilentitel_9&gt;",Uebersetzungen!$B$3:$E$302,Uebersetzungen!$B$2+1,FALSE)</f>
        <v>Glarus</v>
      </c>
      <c r="B23" s="13">
        <v>14002</v>
      </c>
      <c r="C23" s="67">
        <v>77.8</v>
      </c>
      <c r="D23" s="68">
        <v>13.8</v>
      </c>
      <c r="E23" s="68">
        <v>6.3</v>
      </c>
      <c r="F23" s="68">
        <v>2</v>
      </c>
      <c r="G23" s="69">
        <v>0</v>
      </c>
    </row>
    <row r="24" spans="1:7" x14ac:dyDescent="0.2">
      <c r="A24" s="45" t="str">
        <f>VLOOKUP("&lt;T2Zeilentitel_10&gt;",Uebersetzungen!$B$3:$E$302,Uebersetzungen!$B$2+1,FALSE)</f>
        <v>Zug</v>
      </c>
      <c r="B24" s="13">
        <v>16325</v>
      </c>
      <c r="C24" s="67">
        <v>54.3</v>
      </c>
      <c r="D24" s="68">
        <v>15.4</v>
      </c>
      <c r="E24" s="68">
        <v>17.600000000000001</v>
      </c>
      <c r="F24" s="68">
        <v>12.3</v>
      </c>
      <c r="G24" s="69">
        <v>0.4</v>
      </c>
    </row>
    <row r="25" spans="1:7" x14ac:dyDescent="0.2">
      <c r="A25" s="45" t="str">
        <f>VLOOKUP("&lt;T2Zeilentitel_11&gt;",Uebersetzungen!$B$3:$E$302,Uebersetzungen!$B$2+1,FALSE)</f>
        <v>Freiburg</v>
      </c>
      <c r="B25" s="13">
        <v>74140</v>
      </c>
      <c r="C25" s="67">
        <v>71.099999999999994</v>
      </c>
      <c r="D25" s="68">
        <v>8.9</v>
      </c>
      <c r="E25" s="68">
        <v>14.6</v>
      </c>
      <c r="F25" s="68">
        <v>4.4000000000000004</v>
      </c>
      <c r="G25" s="69">
        <v>1</v>
      </c>
    </row>
    <row r="26" spans="1:7" x14ac:dyDescent="0.2">
      <c r="A26" s="45" t="str">
        <f>VLOOKUP("&lt;T2Zeilentitel_12&gt;",Uebersetzungen!$B$3:$E$302,Uebersetzungen!$B$2+1,FALSE)</f>
        <v>Solothurn</v>
      </c>
      <c r="B26" s="13">
        <v>70481</v>
      </c>
      <c r="C26" s="67">
        <v>73.900000000000006</v>
      </c>
      <c r="D26" s="68">
        <v>10.199999999999999</v>
      </c>
      <c r="E26" s="68">
        <v>12.7</v>
      </c>
      <c r="F26" s="68">
        <v>3.1</v>
      </c>
      <c r="G26" s="69">
        <v>0.1</v>
      </c>
    </row>
    <row r="27" spans="1:7" x14ac:dyDescent="0.2">
      <c r="A27" s="45" t="str">
        <f>VLOOKUP("&lt;T2Zeilentitel_13&gt;",Uebersetzungen!$B$3:$E$302,Uebersetzungen!$B$2+1,FALSE)</f>
        <v>Basel-Stadt</v>
      </c>
      <c r="B27" s="13">
        <v>23793</v>
      </c>
      <c r="C27" s="67">
        <v>39.5</v>
      </c>
      <c r="D27" s="68">
        <v>30.9</v>
      </c>
      <c r="E27" s="68">
        <v>22.1</v>
      </c>
      <c r="F27" s="68">
        <v>7.3</v>
      </c>
      <c r="G27" s="69">
        <v>0.2</v>
      </c>
    </row>
    <row r="28" spans="1:7" x14ac:dyDescent="0.2">
      <c r="A28" s="45" t="str">
        <f>VLOOKUP("&lt;T2Zeilentitel_14&gt;",Uebersetzungen!$B$3:$E$302,Uebersetzungen!$B$2+1,FALSE)</f>
        <v>Basel-Landschaft</v>
      </c>
      <c r="B28" s="13">
        <v>67665</v>
      </c>
      <c r="C28" s="67">
        <v>46.4</v>
      </c>
      <c r="D28" s="68">
        <v>10.3</v>
      </c>
      <c r="E28" s="68">
        <v>37.6</v>
      </c>
      <c r="F28" s="68">
        <v>5.5</v>
      </c>
      <c r="G28" s="69">
        <v>0.2</v>
      </c>
    </row>
    <row r="29" spans="1:7" x14ac:dyDescent="0.2">
      <c r="A29" s="45" t="str">
        <f>VLOOKUP("&lt;T2Zeilentitel_15&gt;",Uebersetzungen!$B$3:$E$302,Uebersetzungen!$B$2+1,FALSE)</f>
        <v>Schaffhausen</v>
      </c>
      <c r="B29" s="13">
        <v>19469</v>
      </c>
      <c r="C29" s="67">
        <v>81.099999999999994</v>
      </c>
      <c r="D29" s="68">
        <v>12.2</v>
      </c>
      <c r="E29" s="68">
        <v>3.5</v>
      </c>
      <c r="F29" s="68">
        <v>2.9</v>
      </c>
      <c r="G29" s="69">
        <v>0.3</v>
      </c>
    </row>
    <row r="30" spans="1:7" x14ac:dyDescent="0.2">
      <c r="A30" s="45" t="str">
        <f>VLOOKUP("&lt;T2Zeilentitel_16&gt;",Uebersetzungen!$B$3:$E$302,Uebersetzungen!$B$2+1,FALSE)</f>
        <v>Appenzell Ausserrhoden</v>
      </c>
      <c r="B30" s="13">
        <v>16369</v>
      </c>
      <c r="C30" s="67">
        <v>80.2</v>
      </c>
      <c r="D30" s="68">
        <v>11.8</v>
      </c>
      <c r="E30" s="68">
        <v>3.9</v>
      </c>
      <c r="F30" s="68">
        <v>2.2999999999999998</v>
      </c>
      <c r="G30" s="69">
        <v>1.8</v>
      </c>
    </row>
    <row r="31" spans="1:7" x14ac:dyDescent="0.2">
      <c r="A31" s="45" t="str">
        <f>VLOOKUP("&lt;T2Zeilentitel_17&gt;",Uebersetzungen!$B$3:$E$302,Uebersetzungen!$B$2+1,FALSE)</f>
        <v>Appenzell Innerrhoden</v>
      </c>
      <c r="B31" s="13">
        <v>5319</v>
      </c>
      <c r="C31" s="67">
        <v>82.8</v>
      </c>
      <c r="D31" s="68">
        <v>8.6999999999999993</v>
      </c>
      <c r="E31" s="68">
        <v>2.2999999999999998</v>
      </c>
      <c r="F31" s="68">
        <v>1.7</v>
      </c>
      <c r="G31" s="69">
        <v>4.5</v>
      </c>
    </row>
    <row r="32" spans="1:7" x14ac:dyDescent="0.2">
      <c r="A32" s="45" t="str">
        <f>VLOOKUP("&lt;T2Zeilentitel_18&gt;",Uebersetzungen!$B$3:$E$302,Uebersetzungen!$B$2+1,FALSE)</f>
        <v>St. Gallen</v>
      </c>
      <c r="B32" s="13">
        <v>115089</v>
      </c>
      <c r="C32" s="67">
        <v>79.5</v>
      </c>
      <c r="D32" s="68">
        <v>14.4</v>
      </c>
      <c r="E32" s="68">
        <v>2.7</v>
      </c>
      <c r="F32" s="68">
        <v>3.3</v>
      </c>
      <c r="G32" s="69">
        <v>0.1</v>
      </c>
    </row>
    <row r="33" spans="1:7" x14ac:dyDescent="0.2">
      <c r="A33" s="62" t="str">
        <f>VLOOKUP("&lt;T2Zeilentitel_19&gt;",Uebersetzungen!$B$3:$E$302,Uebersetzungen!$B$2+1,FALSE)</f>
        <v>Graubünden</v>
      </c>
      <c r="B33" s="63">
        <v>73158</v>
      </c>
      <c r="C33" s="85">
        <v>74.900000000000006</v>
      </c>
      <c r="D33" s="86">
        <v>9.8000000000000007</v>
      </c>
      <c r="E33" s="86">
        <v>4.5</v>
      </c>
      <c r="F33" s="86">
        <v>7</v>
      </c>
      <c r="G33" s="87">
        <v>3.8</v>
      </c>
    </row>
    <row r="34" spans="1:7" x14ac:dyDescent="0.2">
      <c r="A34" s="45" t="str">
        <f>VLOOKUP("&lt;T2Zeilentitel_20&gt;",Uebersetzungen!$B$3:$E$302,Uebersetzungen!$B$2+1,FALSE)</f>
        <v>Aargau</v>
      </c>
      <c r="B34" s="13">
        <v>154784</v>
      </c>
      <c r="C34" s="67">
        <v>52.8</v>
      </c>
      <c r="D34" s="68">
        <v>10.7</v>
      </c>
      <c r="E34" s="68">
        <v>29.8</v>
      </c>
      <c r="F34" s="68">
        <v>6.7</v>
      </c>
      <c r="G34" s="69">
        <v>0.1</v>
      </c>
    </row>
    <row r="35" spans="1:7" x14ac:dyDescent="0.2">
      <c r="A35" s="45" t="str">
        <f>VLOOKUP("&lt;T2Zeilentitel_21&gt;",Uebersetzungen!$B$3:$E$302,Uebersetzungen!$B$2+1,FALSE)</f>
        <v>Thurgau</v>
      </c>
      <c r="B35" s="13">
        <v>66836</v>
      </c>
      <c r="C35" s="67">
        <v>80.7</v>
      </c>
      <c r="D35" s="68">
        <v>11.9</v>
      </c>
      <c r="E35" s="68">
        <v>3.9</v>
      </c>
      <c r="F35" s="68">
        <v>3.3</v>
      </c>
      <c r="G35" s="69">
        <v>0.2</v>
      </c>
    </row>
    <row r="36" spans="1:7" x14ac:dyDescent="0.2">
      <c r="A36" s="45" t="str">
        <f>VLOOKUP("&lt;T2Zeilentitel_22&gt;",Uebersetzungen!$B$3:$E$302,Uebersetzungen!$B$2+1,FALSE)</f>
        <v>Tessin</v>
      </c>
      <c r="B36" s="13">
        <v>114039</v>
      </c>
      <c r="C36" s="67">
        <v>82.1</v>
      </c>
      <c r="D36" s="68">
        <v>5.0999999999999996</v>
      </c>
      <c r="E36" s="68">
        <v>3.9</v>
      </c>
      <c r="F36" s="68">
        <v>4</v>
      </c>
      <c r="G36" s="69">
        <v>4.9000000000000004</v>
      </c>
    </row>
    <row r="37" spans="1:7" x14ac:dyDescent="0.2">
      <c r="A37" s="45" t="str">
        <f>VLOOKUP("&lt;T2Zeilentitel_23&gt;",Uebersetzungen!$B$3:$E$302,Uebersetzungen!$B$2+1,FALSE)</f>
        <v>Waadt</v>
      </c>
      <c r="B37" s="13">
        <v>137797</v>
      </c>
      <c r="C37" s="67">
        <v>66.7</v>
      </c>
      <c r="D37" s="68">
        <v>12.4</v>
      </c>
      <c r="E37" s="68">
        <v>9.4</v>
      </c>
      <c r="F37" s="68">
        <v>9.4</v>
      </c>
      <c r="G37" s="69">
        <v>2.1</v>
      </c>
    </row>
    <row r="38" spans="1:7" x14ac:dyDescent="0.2">
      <c r="A38" s="45" t="str">
        <f>VLOOKUP("&lt;T2Zeilentitel_24&gt;",Uebersetzungen!$B$3:$E$302,Uebersetzungen!$B$2+1,FALSE)</f>
        <v>Wallis</v>
      </c>
      <c r="B38" s="13"/>
      <c r="C38" s="67"/>
      <c r="D38" s="68"/>
      <c r="E38" s="68"/>
      <c r="F38" s="68"/>
      <c r="G38" s="69"/>
    </row>
    <row r="39" spans="1:7" x14ac:dyDescent="0.2">
      <c r="A39" s="45" t="str">
        <f>VLOOKUP("&lt;T2Zeilentitel_25&gt;",Uebersetzungen!$B$3:$E$302,Uebersetzungen!$B$2+1,FALSE)</f>
        <v>Neuenburg</v>
      </c>
      <c r="B39" s="13">
        <v>31484</v>
      </c>
      <c r="C39" s="67">
        <v>74.5</v>
      </c>
      <c r="D39" s="68">
        <v>12.5</v>
      </c>
      <c r="E39" s="68">
        <v>5.8</v>
      </c>
      <c r="F39" s="68">
        <v>5.5</v>
      </c>
      <c r="G39" s="69">
        <v>1.7</v>
      </c>
    </row>
    <row r="40" spans="1:7" x14ac:dyDescent="0.2">
      <c r="A40" s="45" t="str">
        <f>VLOOKUP("&lt;T2Zeilentitel_26&gt;",Uebersetzungen!$B$3:$E$302,Uebersetzungen!$B$2+1,FALSE)</f>
        <v>Genf</v>
      </c>
      <c r="B40" s="13">
        <v>45244</v>
      </c>
      <c r="C40" s="67">
        <v>64</v>
      </c>
      <c r="D40" s="68">
        <v>26.4</v>
      </c>
      <c r="E40" s="68">
        <v>2.6</v>
      </c>
      <c r="F40" s="68">
        <v>5.6</v>
      </c>
      <c r="G40" s="69">
        <v>1.4</v>
      </c>
    </row>
    <row r="41" spans="1:7" ht="13.5" thickBot="1" x14ac:dyDescent="0.25">
      <c r="A41" s="48" t="str">
        <f>VLOOKUP("&lt;T2Zeilentitel_27&gt;",Uebersetzungen!$B$3:$E$302,Uebersetzungen!$B$2+1,FALSE)</f>
        <v>Jura</v>
      </c>
      <c r="B41" s="49">
        <v>23465</v>
      </c>
      <c r="C41" s="88">
        <v>79.3</v>
      </c>
      <c r="D41" s="89">
        <v>8.4</v>
      </c>
      <c r="E41" s="89">
        <v>8.6999999999999993</v>
      </c>
      <c r="F41" s="89">
        <v>3.1</v>
      </c>
      <c r="G41" s="90">
        <v>0.4</v>
      </c>
    </row>
    <row r="42" spans="1:7" x14ac:dyDescent="0.2">
      <c r="A42" s="56"/>
      <c r="B42" s="11"/>
      <c r="C42" s="11"/>
      <c r="D42" s="11"/>
      <c r="E42" s="11"/>
      <c r="F42" s="11"/>
      <c r="G42" s="11"/>
    </row>
    <row r="43" spans="1:7" x14ac:dyDescent="0.2">
      <c r="A43" s="8" t="str">
        <f>VLOOKUP("&lt;Legende_1&gt;",Uebersetzungen!$B$3:$E$323,Uebersetzungen!$B$2+1,FALSE)</f>
        <v>* Entfällt, weil trivial oder Begriffe nicht anwendbar</v>
      </c>
    </row>
    <row r="45" spans="1:7" ht="25.5" customHeight="1" x14ac:dyDescent="0.2">
      <c r="A45" s="35" t="str">
        <f>VLOOKUP("&lt;Legende_2&gt;",Uebersetzungen!$B$3:$E$323,Uebersetzungen!$B$2+1,FALSE)</f>
        <v>Die Statistik der Eigentümertypen der Gebäude wird erstellt, indem die Informationen zu den Wohngebäuden aus dem eidgenössischen Gebäude- und Wohnungsregister (GWR) mit den Grundbuchdaten zu einem oder mehreren Eigentümern verknüpft werden.</v>
      </c>
      <c r="B45" s="35"/>
      <c r="C45" s="35"/>
      <c r="D45" s="35"/>
      <c r="E45" s="35"/>
      <c r="F45" s="35"/>
      <c r="G45" s="35"/>
    </row>
    <row r="46" spans="1:7" ht="25.5" customHeight="1" x14ac:dyDescent="0.2">
      <c r="A46" s="35" t="str">
        <f>VLOOKUP("&lt;Legende_3&gt;",Uebersetzungen!$B$3:$E$323,Uebersetzungen!$B$2+1,FALSE)</f>
        <v>(1) Gemeinschaft: Form des kollektiven Eigentums, wobei jedes Mitglied im Besitz des gesamten Objekts ist. Zu den Gemeinschaften gehören einfache Gesellschaften, Erbengemeinschaften, Gütergemeinschaften und Gemeinderschaften.</v>
      </c>
      <c r="B46" s="35"/>
      <c r="C46" s="35"/>
      <c r="D46" s="35"/>
      <c r="E46" s="35"/>
      <c r="F46" s="35"/>
      <c r="G46" s="35"/>
    </row>
    <row r="47" spans="1:7" ht="25.5" customHeight="1" x14ac:dyDescent="0.2">
      <c r="A47" s="35" t="str">
        <f>VLOOKUP("&lt;Legende_4&gt;",Uebersetzungen!$B$3:$E$323,Uebersetzungen!$B$2+1,FALSE)</f>
        <v>(2) Gemischt: Eigentümertyp, dem Gebäude zugeordnet werden, die mindestens zwei verschiedene Eigentümertypen aufweisen. Da die Anteile jedes Eigentümertyps nicht immer bekannt sind, kann das Gebäude keiner der beiden Kategorien eindeutig zugeordnet werden.</v>
      </c>
      <c r="B47" s="35"/>
      <c r="C47" s="35"/>
      <c r="D47" s="35"/>
      <c r="E47" s="35"/>
      <c r="F47" s="35"/>
      <c r="G47" s="35"/>
    </row>
    <row r="48" spans="1:7" ht="25.5" customHeight="1" x14ac:dyDescent="0.2">
      <c r="A48" s="35" t="str">
        <f>VLOOKUP("&lt;Legende_5&gt;",Uebersetzungen!$B$3:$E$323,Uebersetzungen!$B$2+1,FALSE)</f>
        <v>(3) Unbekannt: Eigentümertyp, dem Gebäude zugeordnet werden, bei denen die Grundbücher keine Informationen zu den Eigentümern enthalten.</v>
      </c>
      <c r="B48" s="35"/>
      <c r="C48" s="35"/>
      <c r="D48" s="35"/>
      <c r="E48" s="35"/>
      <c r="F48" s="35"/>
      <c r="G48" s="35"/>
    </row>
    <row r="49" spans="1:7" ht="25.5" customHeight="1" x14ac:dyDescent="0.2">
      <c r="A49" s="35" t="str">
        <f>VLOOKUP("&lt;Legende_6&gt;",Uebersetzungen!$B$3:$E$323,Uebersetzungen!$B$2+1,FALSE)</f>
        <v>(4) Die Kantone Zürich und Wallis sind nicht in der Statistik berücksichtigt, weil die Qualität ihrer aktuellen Daten bzw. die Verknüpfungsmöglichkeiten mit dem GWR noch nicht ausreichen.</v>
      </c>
      <c r="B49" s="35"/>
      <c r="C49" s="35"/>
      <c r="D49" s="35"/>
      <c r="E49" s="35"/>
      <c r="F49" s="35"/>
      <c r="G49" s="35"/>
    </row>
    <row r="51" spans="1:7" x14ac:dyDescent="0.2">
      <c r="A51" s="8" t="str">
        <f>VLOOKUP("&lt;Quelle_1&gt;",Uebersetzungen!$B$3:$E$323,Uebersetzungen!$B$2+1,FALSE)</f>
        <v>Quelle: BFS (Gebäude- und Wohnungsstatistik)</v>
      </c>
    </row>
    <row r="52" spans="1:7" x14ac:dyDescent="0.2">
      <c r="A52" s="8" t="str">
        <f>VLOOKUP("&lt;Aktualisierung&gt;",Uebersetzungen!$B$3:$E$323,Uebersetzungen!$B$2+1,FALSE)</f>
        <v>Letztmals aktualisiert am: 14.03.2024</v>
      </c>
    </row>
    <row r="53" spans="1:7" x14ac:dyDescent="0.2">
      <c r="A53" s="9"/>
    </row>
  </sheetData>
  <sheetProtection sheet="1" objects="1" scenarios="1"/>
  <mergeCells count="8">
    <mergeCell ref="A46:G46"/>
    <mergeCell ref="A47:G47"/>
    <mergeCell ref="A48:G48"/>
    <mergeCell ref="A49:G49"/>
    <mergeCell ref="A7:D7"/>
    <mergeCell ref="B12:B14"/>
    <mergeCell ref="C12:G12"/>
    <mergeCell ref="A45:G45"/>
  </mergeCells>
  <pageMargins left="0.7" right="0.7" top="0.78740157499999996" bottom="0.78740157499999996" header="0.3" footer="0.3"/>
  <pageSetup paperSize="9" scale="56" orientation="portrait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4</xdr:col>
                    <xdr:colOff>247650</xdr:colOff>
                    <xdr:row>1</xdr:row>
                    <xdr:rowOff>114300</xdr:rowOff>
                  </from>
                  <to>
                    <xdr:col>5</xdr:col>
                    <xdr:colOff>266700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247650</xdr:colOff>
                    <xdr:row>2</xdr:row>
                    <xdr:rowOff>104775</xdr:rowOff>
                  </from>
                  <to>
                    <xdr:col>5</xdr:col>
                    <xdr:colOff>581025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3</xdr:row>
                    <xdr:rowOff>66675</xdr:rowOff>
                  </from>
                  <to>
                    <xdr:col>5</xdr:col>
                    <xdr:colOff>266700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zoomScaleNormal="100" workbookViewId="0"/>
  </sheetViews>
  <sheetFormatPr baseColWidth="10" defaultRowHeight="12.75" x14ac:dyDescent="0.2"/>
  <cols>
    <col min="1" max="1" width="38.5703125" style="8" customWidth="1"/>
    <col min="2" max="22" width="12.42578125" style="8" customWidth="1"/>
    <col min="23" max="16384" width="11.42578125" style="8"/>
  </cols>
  <sheetData>
    <row r="1" spans="1:22" s="4" customFormat="1" x14ac:dyDescent="0.2"/>
    <row r="2" spans="1:22" s="4" customFormat="1" ht="15.75" x14ac:dyDescent="0.25">
      <c r="B2" s="33"/>
    </row>
    <row r="3" spans="1:22" s="4" customFormat="1" ht="15.75" x14ac:dyDescent="0.25">
      <c r="B3" s="33"/>
    </row>
    <row r="4" spans="1:22" s="4" customFormat="1" ht="15.75" x14ac:dyDescent="0.25">
      <c r="B4" s="33"/>
    </row>
    <row r="5" spans="1:22" s="4" customFormat="1" x14ac:dyDescent="0.2"/>
    <row r="6" spans="1:22" s="2" customFormat="1" ht="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4" customFormat="1" ht="15.75" customHeight="1" x14ac:dyDescent="0.2">
      <c r="A7" s="36" t="str">
        <f>VLOOKUP("&lt;Fachbereich&gt;",Uebersetzungen!$B$3:$E$30,Uebersetzungen!$B$2+1,FALSE)</f>
        <v>Daten &amp; Statistik</v>
      </c>
      <c r="B7" s="36"/>
      <c r="C7" s="36"/>
      <c r="D7" s="3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5"/>
      <c r="V7" s="5"/>
    </row>
    <row r="9" spans="1:22" ht="18" x14ac:dyDescent="0.25">
      <c r="A9" s="15" t="str">
        <f>VLOOKUP("&lt;T3Titel&gt;",Uebersetzungen!$B$3:$E$329,Uebersetzungen!$B$2+1,FALSE)</f>
        <v>Gebäude nach Eigentümertyp, Wirtschaftszweig, Gemeinschaftstyp und Kanton 2022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"/>
    </row>
    <row r="10" spans="1:22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3.5" thickBot="1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">
      <c r="A12" s="39"/>
      <c r="B12" s="101" t="str">
        <f>VLOOKUP("&lt;SpaltenTitel_1.1&gt;",Uebersetzungen!$B$3:$E$302,Uebersetzungen!$B$2+1,FALSE)</f>
        <v>Total</v>
      </c>
      <c r="C12" s="52" t="str">
        <f>VLOOKUP("&lt;SpaltenTitel_1.2&gt;",Uebersetzungen!$B$3:$E$302,Uebersetzungen!$B$2+1,FALSE)</f>
        <v>Eigentümertyp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</row>
    <row r="13" spans="1:22" s="37" customFormat="1" ht="12.75" customHeight="1" x14ac:dyDescent="0.2">
      <c r="A13" s="55"/>
      <c r="B13" s="102"/>
      <c r="C13" s="91" t="str">
        <f>VLOOKUP("&lt;SpaltenTitel_1.3&gt;",Uebersetzungen!$B$3:$E$302,Uebersetzungen!$B$2+1,FALSE)</f>
        <v>Natürliche Person(en)</v>
      </c>
      <c r="D13" s="94" t="str">
        <f>VLOOKUP("&lt;SpaltenTitel_1.4&gt;",Uebersetzungen!$B$3:$E$302,Uebersetzungen!$B$2+1,FALSE)</f>
        <v>Juristische Person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  <c r="P13" s="94" t="str">
        <f>VLOOKUP("&lt;SpaltenTitel_1.5&gt;",Uebersetzungen!$B$3:$E$302,Uebersetzungen!$B$2+1,FALSE)</f>
        <v>Gemeinschaft (1)</v>
      </c>
      <c r="Q13" s="95"/>
      <c r="R13" s="95"/>
      <c r="S13" s="95"/>
      <c r="T13" s="96"/>
      <c r="U13" s="91" t="str">
        <f>VLOOKUP("&lt;SpaltenTitel_1.6&gt;",Uebersetzungen!$B$3:$E$302,Uebersetzungen!$B$2+1,FALSE)</f>
        <v>Gemischt (2)</v>
      </c>
      <c r="V13" s="97" t="str">
        <f>VLOOKUP("&lt;SpaltenTitel_1.7&gt;",Uebersetzungen!$B$3:$E$302,Uebersetzungen!$B$2+1,FALSE)</f>
        <v>Unbekannt (3)</v>
      </c>
    </row>
    <row r="14" spans="1:22" s="37" customFormat="1" ht="12.75" customHeight="1" x14ac:dyDescent="0.2">
      <c r="A14" s="55"/>
      <c r="B14" s="102"/>
      <c r="C14" s="93"/>
      <c r="D14" s="91" t="str">
        <f>VLOOKUP("&lt;T3SpaltenTitel_1.4.1&gt;",Uebersetzungen!$B$3:$E$302,Uebersetzungen!$B$2+1,FALSE)</f>
        <v>Total</v>
      </c>
      <c r="E14" s="94" t="str">
        <f>VLOOKUP("&lt;T3SpaltenTitel_1.4.2&gt;",Uebersetzungen!$B$3:$E$302,Uebersetzungen!$B$2+1,FALSE)</f>
        <v>Wirtschaftszweige (NOGA) (5)</v>
      </c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91" t="str">
        <f>VLOOKUP("&lt;T3SpaltenTitel_1.5.1&gt;",Uebersetzungen!$B$3:$E$302,Uebersetzungen!$B$2+1,FALSE)</f>
        <v>Total</v>
      </c>
      <c r="Q14" s="94" t="str">
        <f>VLOOKUP("&lt;T3SpaltenTitel_1.5.2&gt;",Uebersetzungen!$B$3:$E$302,Uebersetzungen!$B$2+1,FALSE)</f>
        <v>Gemeinschaftstyp</v>
      </c>
      <c r="R14" s="95"/>
      <c r="S14" s="95"/>
      <c r="T14" s="96"/>
      <c r="U14" s="93"/>
      <c r="V14" s="98"/>
    </row>
    <row r="15" spans="1:22" ht="167.25" customHeight="1" x14ac:dyDescent="0.2">
      <c r="A15" s="41"/>
      <c r="B15" s="103"/>
      <c r="C15" s="92"/>
      <c r="D15" s="92"/>
      <c r="E15" s="100" t="str">
        <f>VLOOKUP("&lt;T3SpaltenTitel_1.4.3&gt;",Uebersetzungen!$B$3:$E$302,Uebersetzungen!$B$2+1,FALSE)</f>
        <v>Landwirtschaft, Forstwirtschaft und Fischerei</v>
      </c>
      <c r="F15" s="100" t="str">
        <f>VLOOKUP("&lt;T3SpaltenTitel_1.4.4&gt;",Uebersetzungen!$B$3:$E$302,Uebersetzungen!$B$2+1,FALSE)</f>
        <v>Verarbeitendes Gewerbe /Herstellung von Waren, Bergbau und Gewinnung von Steinen 
und Erden, sonstige Industrie</v>
      </c>
      <c r="G15" s="100" t="str">
        <f>VLOOKUP("&lt;T3SpaltenTitel_1.4.5&gt;",Uebersetzungen!$B$3:$E$302,Uebersetzungen!$B$2+1,FALSE)</f>
        <v xml:space="preserve">Baugewerbe/Bau </v>
      </c>
      <c r="H15" s="100" t="str">
        <f>VLOOKUP("&lt;T3SpaltenTitel_1.4.6&gt;",Uebersetzungen!$B$3:$E$302,Uebersetzungen!$B$2+1,FALSE)</f>
        <v>Handel, Verkehr und Lagerei, Information und Kommunikation</v>
      </c>
      <c r="I15" s="100" t="str">
        <f>VLOOKUP("&lt;T3SpaltenTitel_1.4.7&gt;",Uebersetzungen!$B$3:$E$302,Uebersetzungen!$B$2+1,FALSE)</f>
        <v xml:space="preserve">Erbringung von Finanz- und Versicherungsdienstleistungen </v>
      </c>
      <c r="J15" s="100" t="str">
        <f>VLOOKUP("&lt;T3SpaltenTitel_1.4.8&gt;",Uebersetzungen!$B$3:$E$302,Uebersetzungen!$B$2+1,FALSE)</f>
        <v>Grundstücks- und Wohnungswesen</v>
      </c>
      <c r="K15" s="100" t="str">
        <f>VLOOKUP("&lt;T3SpaltenTitel_1.4.9&gt;",Uebersetzungen!$B$3:$E$302,Uebersetzungen!$B$2+1,FALSE)</f>
        <v>Erbringung von freiberuflichen, wissenschaftlichen und technischen Dienst-leistungen sowie von sonstigen wirtschaftlichen Dienst-leistungen</v>
      </c>
      <c r="L15" s="100" t="str">
        <f>VLOOKUP("&lt;T3SpaltenTitel_1.4.10&gt;",Uebersetzungen!$B$3:$E$302,Uebersetzungen!$B$2+1,FALSE)</f>
        <v xml:space="preserve">Öffentliche Verwaltung, Verteidigung, Sozialversicherung, Erziehung und Unterricht, Gesundheits- und Sozialwesen </v>
      </c>
      <c r="M15" s="100" t="str">
        <f>VLOOKUP("&lt;T3SpaltenTitel_1.4.11&gt;",Uebersetzungen!$B$3:$E$302,Uebersetzungen!$B$2+1,FALSE)</f>
        <v xml:space="preserve">Sonstige Dienstleistungen </v>
      </c>
      <c r="N15" s="100" t="str">
        <f>VLOOKUP("&lt;T3SpaltenTitel_1.4.12&gt;",Uebersetzungen!$B$3:$E$302,Uebersetzungen!$B$2+1,FALSE)</f>
        <v>Gemischte Wirtschaftszweige</v>
      </c>
      <c r="O15" s="100" t="str">
        <f>VLOOKUP("&lt;T3SpaltenTitel_1.4.13&gt;",Uebersetzungen!$B$3:$E$302,Uebersetzungen!$B$2+1,FALSE)</f>
        <v>Unbekannte Wirtschaftszweige</v>
      </c>
      <c r="P15" s="92"/>
      <c r="Q15" s="100" t="str">
        <f>VLOOKUP("&lt;T3SpaltenTitel_1.5.3&gt;",Uebersetzungen!$B$3:$E$302,Uebersetzungen!$B$2+1,FALSE)</f>
        <v>Einfache Gesellschaft</v>
      </c>
      <c r="R15" s="100" t="str">
        <f>VLOOKUP("&lt;T3SpaltenTitel_1.5.4&gt;",Uebersetzungen!$B$3:$E$302,Uebersetzungen!$B$2+1,FALSE)</f>
        <v>Erbengemeinschaft</v>
      </c>
      <c r="S15" s="100" t="str">
        <f>VLOOKUP("&lt;T3SpaltenTitel_1.5.5&gt;",Uebersetzungen!$B$3:$E$302,Uebersetzungen!$B$2+1,FALSE)</f>
        <v>Andere</v>
      </c>
      <c r="T15" s="100" t="str">
        <f>VLOOKUP("&lt;T3SpaltenTitel_1.5.6&gt;",Uebersetzungen!$B$3:$E$302,Uebersetzungen!$B$2+1,FALSE)</f>
        <v>Unbekannt</v>
      </c>
      <c r="U15" s="92"/>
      <c r="V15" s="99"/>
    </row>
    <row r="16" spans="1:22" x14ac:dyDescent="0.2">
      <c r="A16" s="45" t="str">
        <f>VLOOKUP("&lt;T2Zeilentitel_1&gt;",Uebersetzungen!$B$3:$E$302,Uebersetzungen!$B$2+1,FALSE)</f>
        <v>Total (Schweiz ohne ZH und VS) (4)</v>
      </c>
      <c r="B16" s="13">
        <v>1438755</v>
      </c>
      <c r="C16" s="16">
        <v>964272</v>
      </c>
      <c r="D16" s="17">
        <v>171612</v>
      </c>
      <c r="E16" s="17">
        <v>1710</v>
      </c>
      <c r="F16" s="17">
        <v>5506</v>
      </c>
      <c r="G16" s="17">
        <v>7477</v>
      </c>
      <c r="H16" s="17">
        <v>11380</v>
      </c>
      <c r="I16" s="17">
        <v>32899</v>
      </c>
      <c r="J16" s="17">
        <v>64570</v>
      </c>
      <c r="K16" s="17">
        <v>5638</v>
      </c>
      <c r="L16" s="17">
        <v>18414</v>
      </c>
      <c r="M16" s="17">
        <v>12030</v>
      </c>
      <c r="N16" s="17">
        <v>1132</v>
      </c>
      <c r="O16" s="17">
        <v>10856</v>
      </c>
      <c r="P16" s="17">
        <v>206568</v>
      </c>
      <c r="Q16" s="17">
        <v>157864</v>
      </c>
      <c r="R16" s="17">
        <v>32724</v>
      </c>
      <c r="S16" s="17">
        <v>12700</v>
      </c>
      <c r="T16" s="17">
        <v>3280</v>
      </c>
      <c r="U16" s="17">
        <v>80692</v>
      </c>
      <c r="V16" s="46">
        <v>15611</v>
      </c>
    </row>
    <row r="17" spans="1:22" x14ac:dyDescent="0.2">
      <c r="A17" s="45" t="str">
        <f>VLOOKUP("&lt;T2Zeilentitel_2&gt;",Uebersetzungen!$B$3:$E$302,Uebersetzungen!$B$2+1,FALSE)</f>
        <v>Zürich</v>
      </c>
      <c r="B17" s="13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46"/>
    </row>
    <row r="18" spans="1:22" x14ac:dyDescent="0.2">
      <c r="A18" s="45" t="str">
        <f>VLOOKUP("&lt;T2Zeilentitel_3&gt;",Uebersetzungen!$B$3:$E$302,Uebersetzungen!$B$2+1,FALSE)</f>
        <v>Bern</v>
      </c>
      <c r="B18" s="13">
        <v>238956</v>
      </c>
      <c r="C18" s="16">
        <v>128376</v>
      </c>
      <c r="D18" s="17">
        <v>27731</v>
      </c>
      <c r="E18" s="17">
        <v>184</v>
      </c>
      <c r="F18" s="17">
        <v>1128</v>
      </c>
      <c r="G18" s="17">
        <v>1274</v>
      </c>
      <c r="H18" s="17">
        <v>2232</v>
      </c>
      <c r="I18" s="17">
        <v>5284</v>
      </c>
      <c r="J18" s="17">
        <v>9504</v>
      </c>
      <c r="K18" s="17">
        <v>992</v>
      </c>
      <c r="L18" s="17">
        <v>3436</v>
      </c>
      <c r="M18" s="17">
        <v>2068</v>
      </c>
      <c r="N18" s="17">
        <v>190</v>
      </c>
      <c r="O18" s="17">
        <v>1439</v>
      </c>
      <c r="P18" s="17">
        <v>66098</v>
      </c>
      <c r="Q18" s="17">
        <v>56335</v>
      </c>
      <c r="R18" s="17">
        <v>6127</v>
      </c>
      <c r="S18" s="17">
        <v>3636</v>
      </c>
      <c r="T18" s="17">
        <v>0</v>
      </c>
      <c r="U18" s="17">
        <v>15957</v>
      </c>
      <c r="V18" s="46">
        <v>794</v>
      </c>
    </row>
    <row r="19" spans="1:22" x14ac:dyDescent="0.2">
      <c r="A19" s="45" t="str">
        <f>VLOOKUP("&lt;T2Zeilentitel_4&gt;",Uebersetzungen!$B$3:$E$302,Uebersetzungen!$B$2+1,FALSE)</f>
        <v>Luzern</v>
      </c>
      <c r="B19" s="13">
        <v>70220</v>
      </c>
      <c r="C19" s="16">
        <v>51617</v>
      </c>
      <c r="D19" s="17">
        <v>10830</v>
      </c>
      <c r="E19" s="17">
        <v>147</v>
      </c>
      <c r="F19" s="17">
        <v>342</v>
      </c>
      <c r="G19" s="17">
        <v>445</v>
      </c>
      <c r="H19" s="17">
        <v>726</v>
      </c>
      <c r="I19" s="17">
        <v>2053</v>
      </c>
      <c r="J19" s="17">
        <v>5217</v>
      </c>
      <c r="K19" s="17">
        <v>325</v>
      </c>
      <c r="L19" s="17">
        <v>851</v>
      </c>
      <c r="M19" s="17">
        <v>563</v>
      </c>
      <c r="N19" s="17">
        <v>79</v>
      </c>
      <c r="O19" s="17">
        <v>82</v>
      </c>
      <c r="P19" s="17">
        <v>4179</v>
      </c>
      <c r="Q19" s="17">
        <v>2339</v>
      </c>
      <c r="R19" s="17">
        <v>914</v>
      </c>
      <c r="S19" s="17">
        <v>674</v>
      </c>
      <c r="T19" s="17">
        <v>252</v>
      </c>
      <c r="U19" s="17">
        <v>3551</v>
      </c>
      <c r="V19" s="46">
        <v>43</v>
      </c>
    </row>
    <row r="20" spans="1:22" x14ac:dyDescent="0.2">
      <c r="A20" s="45" t="str">
        <f>VLOOKUP("&lt;T2Zeilentitel_5&gt;",Uebersetzungen!$B$3:$E$302,Uebersetzungen!$B$2+1,FALSE)</f>
        <v>Uri</v>
      </c>
      <c r="B20" s="13">
        <v>10275</v>
      </c>
      <c r="C20" s="16">
        <v>7894</v>
      </c>
      <c r="D20" s="17">
        <v>959</v>
      </c>
      <c r="E20" s="17">
        <v>12</v>
      </c>
      <c r="F20" s="17">
        <v>81</v>
      </c>
      <c r="G20" s="17">
        <v>91</v>
      </c>
      <c r="H20" s="17">
        <v>100</v>
      </c>
      <c r="I20" s="17">
        <v>77</v>
      </c>
      <c r="J20" s="17">
        <v>330</v>
      </c>
      <c r="K20" s="17">
        <v>23</v>
      </c>
      <c r="L20" s="17">
        <v>107</v>
      </c>
      <c r="M20" s="17">
        <v>119</v>
      </c>
      <c r="N20" s="17">
        <v>6</v>
      </c>
      <c r="O20" s="17">
        <v>13</v>
      </c>
      <c r="P20" s="17">
        <v>909</v>
      </c>
      <c r="Q20" s="17">
        <v>681</v>
      </c>
      <c r="R20" s="17">
        <v>182</v>
      </c>
      <c r="S20" s="17">
        <v>37</v>
      </c>
      <c r="T20" s="17">
        <v>9</v>
      </c>
      <c r="U20" s="17">
        <v>461</v>
      </c>
      <c r="V20" s="46">
        <v>52</v>
      </c>
    </row>
    <row r="21" spans="1:22" x14ac:dyDescent="0.2">
      <c r="A21" s="45" t="str">
        <f>VLOOKUP("&lt;T2Zeilentitel_6&gt;",Uebersetzungen!$B$3:$E$302,Uebersetzungen!$B$2+1,FALSE)</f>
        <v>Schwyz</v>
      </c>
      <c r="B21" s="13">
        <v>32306</v>
      </c>
      <c r="C21" s="16">
        <v>25506</v>
      </c>
      <c r="D21" s="17">
        <v>3759</v>
      </c>
      <c r="E21" s="17">
        <v>105</v>
      </c>
      <c r="F21" s="17">
        <v>221</v>
      </c>
      <c r="G21" s="17">
        <v>169</v>
      </c>
      <c r="H21" s="17">
        <v>296</v>
      </c>
      <c r="I21" s="17">
        <v>395</v>
      </c>
      <c r="J21" s="17">
        <v>1516</v>
      </c>
      <c r="K21" s="17">
        <v>108</v>
      </c>
      <c r="L21" s="17">
        <v>282</v>
      </c>
      <c r="M21" s="17">
        <v>595</v>
      </c>
      <c r="N21" s="17">
        <v>41</v>
      </c>
      <c r="O21" s="17">
        <v>31</v>
      </c>
      <c r="P21" s="17">
        <v>1367</v>
      </c>
      <c r="Q21" s="17">
        <v>522</v>
      </c>
      <c r="R21" s="17">
        <v>572</v>
      </c>
      <c r="S21" s="17">
        <v>192</v>
      </c>
      <c r="T21" s="17">
        <v>81</v>
      </c>
      <c r="U21" s="17">
        <v>1595</v>
      </c>
      <c r="V21" s="46">
        <v>79</v>
      </c>
    </row>
    <row r="22" spans="1:22" x14ac:dyDescent="0.2">
      <c r="A22" s="45" t="str">
        <f>VLOOKUP("&lt;T2Zeilentitel_7&gt;",Uebersetzungen!$B$3:$E$302,Uebersetzungen!$B$2+1,FALSE)</f>
        <v>Obwalden</v>
      </c>
      <c r="B22" s="13">
        <v>9497</v>
      </c>
      <c r="C22" s="16">
        <v>7343</v>
      </c>
      <c r="D22" s="17">
        <v>1052</v>
      </c>
      <c r="E22" s="17">
        <v>83</v>
      </c>
      <c r="F22" s="17">
        <v>47</v>
      </c>
      <c r="G22" s="17">
        <v>39</v>
      </c>
      <c r="H22" s="17">
        <v>150</v>
      </c>
      <c r="I22" s="17">
        <v>99</v>
      </c>
      <c r="J22" s="17">
        <v>311</v>
      </c>
      <c r="K22" s="17">
        <v>52</v>
      </c>
      <c r="L22" s="17">
        <v>105</v>
      </c>
      <c r="M22" s="17">
        <v>124</v>
      </c>
      <c r="N22" s="17">
        <v>5</v>
      </c>
      <c r="O22" s="17">
        <v>37</v>
      </c>
      <c r="P22" s="17">
        <v>449</v>
      </c>
      <c r="Q22" s="17">
        <v>216</v>
      </c>
      <c r="R22" s="17">
        <v>159</v>
      </c>
      <c r="S22" s="17">
        <v>72</v>
      </c>
      <c r="T22" s="17">
        <v>2</v>
      </c>
      <c r="U22" s="17">
        <v>592</v>
      </c>
      <c r="V22" s="46">
        <v>61</v>
      </c>
    </row>
    <row r="23" spans="1:22" x14ac:dyDescent="0.2">
      <c r="A23" s="45" t="str">
        <f>VLOOKUP("&lt;T2Zeilentitel_8&gt;",Uebersetzungen!$B$3:$E$302,Uebersetzungen!$B$2+1,FALSE)</f>
        <v>Nidwalden</v>
      </c>
      <c r="B23" s="13">
        <v>8042</v>
      </c>
      <c r="C23" s="16">
        <v>6210</v>
      </c>
      <c r="D23" s="17">
        <v>1019</v>
      </c>
      <c r="E23" s="17">
        <v>43</v>
      </c>
      <c r="F23" s="17">
        <v>50</v>
      </c>
      <c r="G23" s="17">
        <v>54</v>
      </c>
      <c r="H23" s="17">
        <v>117</v>
      </c>
      <c r="I23" s="17">
        <v>147</v>
      </c>
      <c r="J23" s="17">
        <v>326</v>
      </c>
      <c r="K23" s="17">
        <v>31</v>
      </c>
      <c r="L23" s="17">
        <v>82</v>
      </c>
      <c r="M23" s="17">
        <v>138</v>
      </c>
      <c r="N23" s="17">
        <v>3</v>
      </c>
      <c r="O23" s="17">
        <v>28</v>
      </c>
      <c r="P23" s="17">
        <v>315</v>
      </c>
      <c r="Q23" s="17">
        <v>118</v>
      </c>
      <c r="R23" s="17">
        <v>120</v>
      </c>
      <c r="S23" s="17">
        <v>72</v>
      </c>
      <c r="T23" s="17">
        <v>5</v>
      </c>
      <c r="U23" s="17">
        <v>463</v>
      </c>
      <c r="V23" s="46">
        <v>35</v>
      </c>
    </row>
    <row r="24" spans="1:22" x14ac:dyDescent="0.2">
      <c r="A24" s="45" t="str">
        <f>VLOOKUP("&lt;T2Zeilentitel_9&gt;",Uebersetzungen!$B$3:$E$302,Uebersetzungen!$B$2+1,FALSE)</f>
        <v>Glarus</v>
      </c>
      <c r="B24" s="13">
        <v>14002</v>
      </c>
      <c r="C24" s="16">
        <v>10892</v>
      </c>
      <c r="D24" s="17">
        <v>1938</v>
      </c>
      <c r="E24" s="17">
        <v>11</v>
      </c>
      <c r="F24" s="17">
        <v>123</v>
      </c>
      <c r="G24" s="17">
        <v>109</v>
      </c>
      <c r="H24" s="17">
        <v>129</v>
      </c>
      <c r="I24" s="17">
        <v>124</v>
      </c>
      <c r="J24" s="17">
        <v>584</v>
      </c>
      <c r="K24" s="17">
        <v>109</v>
      </c>
      <c r="L24" s="17">
        <v>625</v>
      </c>
      <c r="M24" s="17">
        <v>103</v>
      </c>
      <c r="N24" s="17">
        <v>5</v>
      </c>
      <c r="O24" s="17">
        <v>16</v>
      </c>
      <c r="P24" s="17">
        <v>881</v>
      </c>
      <c r="Q24" s="17">
        <v>5</v>
      </c>
      <c r="R24" s="17">
        <v>1</v>
      </c>
      <c r="S24" s="17">
        <v>0</v>
      </c>
      <c r="T24" s="17">
        <v>875</v>
      </c>
      <c r="U24" s="17">
        <v>286</v>
      </c>
      <c r="V24" s="46">
        <v>5</v>
      </c>
    </row>
    <row r="25" spans="1:22" x14ac:dyDescent="0.2">
      <c r="A25" s="45" t="str">
        <f>VLOOKUP("&lt;T2Zeilentitel_10&gt;",Uebersetzungen!$B$3:$E$302,Uebersetzungen!$B$2+1,FALSE)</f>
        <v>Zug</v>
      </c>
      <c r="B25" s="13">
        <v>16325</v>
      </c>
      <c r="C25" s="16">
        <v>8861</v>
      </c>
      <c r="D25" s="17">
        <v>2519</v>
      </c>
      <c r="E25" s="17">
        <v>62</v>
      </c>
      <c r="F25" s="17">
        <v>69</v>
      </c>
      <c r="G25" s="17">
        <v>61</v>
      </c>
      <c r="H25" s="17">
        <v>127</v>
      </c>
      <c r="I25" s="17">
        <v>506</v>
      </c>
      <c r="J25" s="17">
        <v>990</v>
      </c>
      <c r="K25" s="17">
        <v>84</v>
      </c>
      <c r="L25" s="17">
        <v>278</v>
      </c>
      <c r="M25" s="17">
        <v>296</v>
      </c>
      <c r="N25" s="17">
        <v>14</v>
      </c>
      <c r="O25" s="17">
        <v>32</v>
      </c>
      <c r="P25" s="17">
        <v>2866</v>
      </c>
      <c r="Q25" s="17">
        <v>2403</v>
      </c>
      <c r="R25" s="17">
        <v>385</v>
      </c>
      <c r="S25" s="17">
        <v>78</v>
      </c>
      <c r="T25" s="17">
        <v>0</v>
      </c>
      <c r="U25" s="17">
        <v>2012</v>
      </c>
      <c r="V25" s="46">
        <v>67</v>
      </c>
    </row>
    <row r="26" spans="1:22" x14ac:dyDescent="0.2">
      <c r="A26" s="45" t="str">
        <f>VLOOKUP("&lt;T2Zeilentitel_11&gt;",Uebersetzungen!$B$3:$E$302,Uebersetzungen!$B$2+1,FALSE)</f>
        <v>Freiburg</v>
      </c>
      <c r="B26" s="13">
        <v>74140</v>
      </c>
      <c r="C26" s="16">
        <v>52734</v>
      </c>
      <c r="D26" s="17">
        <v>6574</v>
      </c>
      <c r="E26" s="17">
        <v>30</v>
      </c>
      <c r="F26" s="17">
        <v>187</v>
      </c>
      <c r="G26" s="17">
        <v>407</v>
      </c>
      <c r="H26" s="17">
        <v>428</v>
      </c>
      <c r="I26" s="17">
        <v>1486</v>
      </c>
      <c r="J26" s="17">
        <v>1870</v>
      </c>
      <c r="K26" s="17">
        <v>187</v>
      </c>
      <c r="L26" s="17">
        <v>652</v>
      </c>
      <c r="M26" s="17">
        <v>395</v>
      </c>
      <c r="N26" s="17">
        <v>58</v>
      </c>
      <c r="O26" s="17">
        <v>874</v>
      </c>
      <c r="P26" s="17">
        <v>10849</v>
      </c>
      <c r="Q26" s="17">
        <v>9011</v>
      </c>
      <c r="R26" s="17">
        <v>1709</v>
      </c>
      <c r="S26" s="17">
        <v>129</v>
      </c>
      <c r="T26" s="17">
        <v>0</v>
      </c>
      <c r="U26" s="17">
        <v>3251</v>
      </c>
      <c r="V26" s="46">
        <v>732</v>
      </c>
    </row>
    <row r="27" spans="1:22" x14ac:dyDescent="0.2">
      <c r="A27" s="45" t="str">
        <f>VLOOKUP("&lt;T2Zeilentitel_12&gt;",Uebersetzungen!$B$3:$E$302,Uebersetzungen!$B$2+1,FALSE)</f>
        <v>Solothurn</v>
      </c>
      <c r="B27" s="13">
        <v>70481</v>
      </c>
      <c r="C27" s="16">
        <v>52118</v>
      </c>
      <c r="D27" s="17">
        <v>7196</v>
      </c>
      <c r="E27" s="17">
        <v>50</v>
      </c>
      <c r="F27" s="17">
        <v>254</v>
      </c>
      <c r="G27" s="17">
        <v>340</v>
      </c>
      <c r="H27" s="17">
        <v>432</v>
      </c>
      <c r="I27" s="17">
        <v>1347</v>
      </c>
      <c r="J27" s="17">
        <v>3038</v>
      </c>
      <c r="K27" s="17">
        <v>229</v>
      </c>
      <c r="L27" s="17">
        <v>571</v>
      </c>
      <c r="M27" s="17">
        <v>710</v>
      </c>
      <c r="N27" s="17">
        <v>42</v>
      </c>
      <c r="O27" s="17">
        <v>183</v>
      </c>
      <c r="P27" s="17">
        <v>8922</v>
      </c>
      <c r="Q27" s="17">
        <v>5214</v>
      </c>
      <c r="R27" s="17">
        <v>1022</v>
      </c>
      <c r="S27" s="17">
        <v>2686</v>
      </c>
      <c r="T27" s="17">
        <v>0</v>
      </c>
      <c r="U27" s="17">
        <v>2175</v>
      </c>
      <c r="V27" s="46">
        <v>70</v>
      </c>
    </row>
    <row r="28" spans="1:22" x14ac:dyDescent="0.2">
      <c r="A28" s="45" t="str">
        <f>VLOOKUP("&lt;T2Zeilentitel_13&gt;",Uebersetzungen!$B$3:$E$302,Uebersetzungen!$B$2+1,FALSE)</f>
        <v>Basel-Stadt</v>
      </c>
      <c r="B28" s="13">
        <v>23793</v>
      </c>
      <c r="C28" s="16">
        <v>9404</v>
      </c>
      <c r="D28" s="17">
        <v>7348</v>
      </c>
      <c r="E28" s="17">
        <v>7</v>
      </c>
      <c r="F28" s="17">
        <v>26</v>
      </c>
      <c r="G28" s="17">
        <v>91</v>
      </c>
      <c r="H28" s="17">
        <v>145</v>
      </c>
      <c r="I28" s="17">
        <v>1595</v>
      </c>
      <c r="J28" s="17">
        <v>4063</v>
      </c>
      <c r="K28" s="17">
        <v>136</v>
      </c>
      <c r="L28" s="17">
        <v>761</v>
      </c>
      <c r="M28" s="17">
        <v>383</v>
      </c>
      <c r="N28" s="17">
        <v>30</v>
      </c>
      <c r="O28" s="17">
        <v>111</v>
      </c>
      <c r="P28" s="17">
        <v>5254</v>
      </c>
      <c r="Q28" s="17">
        <v>4217</v>
      </c>
      <c r="R28" s="17">
        <v>647</v>
      </c>
      <c r="S28" s="17">
        <v>390</v>
      </c>
      <c r="T28" s="17">
        <v>0</v>
      </c>
      <c r="U28" s="17">
        <v>1733</v>
      </c>
      <c r="V28" s="46">
        <v>54</v>
      </c>
    </row>
    <row r="29" spans="1:22" x14ac:dyDescent="0.2">
      <c r="A29" s="45" t="str">
        <f>VLOOKUP("&lt;T2Zeilentitel_14&gt;",Uebersetzungen!$B$3:$E$302,Uebersetzungen!$B$2+1,FALSE)</f>
        <v>Basel-Landschaft</v>
      </c>
      <c r="B29" s="13">
        <v>67665</v>
      </c>
      <c r="C29" s="16">
        <v>31392</v>
      </c>
      <c r="D29" s="17">
        <v>6964</v>
      </c>
      <c r="E29" s="17">
        <v>49</v>
      </c>
      <c r="F29" s="17">
        <v>159</v>
      </c>
      <c r="G29" s="17">
        <v>256</v>
      </c>
      <c r="H29" s="17">
        <v>303</v>
      </c>
      <c r="I29" s="17">
        <v>2288</v>
      </c>
      <c r="J29" s="17">
        <v>2508</v>
      </c>
      <c r="K29" s="17">
        <v>184</v>
      </c>
      <c r="L29" s="17">
        <v>719</v>
      </c>
      <c r="M29" s="17">
        <v>432</v>
      </c>
      <c r="N29" s="17">
        <v>41</v>
      </c>
      <c r="O29" s="17">
        <v>25</v>
      </c>
      <c r="P29" s="17">
        <v>25421</v>
      </c>
      <c r="Q29" s="17">
        <v>21943</v>
      </c>
      <c r="R29" s="17">
        <v>2291</v>
      </c>
      <c r="S29" s="17">
        <v>1124</v>
      </c>
      <c r="T29" s="17">
        <v>63</v>
      </c>
      <c r="U29" s="17">
        <v>3743</v>
      </c>
      <c r="V29" s="46">
        <v>145</v>
      </c>
    </row>
    <row r="30" spans="1:22" x14ac:dyDescent="0.2">
      <c r="A30" s="45" t="str">
        <f>VLOOKUP("&lt;T2Zeilentitel_15&gt;",Uebersetzungen!$B$3:$E$302,Uebersetzungen!$B$2+1,FALSE)</f>
        <v>Schaffhausen</v>
      </c>
      <c r="B30" s="13">
        <v>19469</v>
      </c>
      <c r="C30" s="16">
        <v>15786</v>
      </c>
      <c r="D30" s="17">
        <v>2372</v>
      </c>
      <c r="E30" s="17">
        <v>9</v>
      </c>
      <c r="F30" s="17">
        <v>51</v>
      </c>
      <c r="G30" s="17">
        <v>134</v>
      </c>
      <c r="H30" s="17">
        <v>96</v>
      </c>
      <c r="I30" s="17">
        <v>467</v>
      </c>
      <c r="J30" s="17">
        <v>1028</v>
      </c>
      <c r="K30" s="17">
        <v>78</v>
      </c>
      <c r="L30" s="17">
        <v>343</v>
      </c>
      <c r="M30" s="17">
        <v>116</v>
      </c>
      <c r="N30" s="17">
        <v>5</v>
      </c>
      <c r="O30" s="17">
        <v>45</v>
      </c>
      <c r="P30" s="17">
        <v>687</v>
      </c>
      <c r="Q30" s="17">
        <v>194</v>
      </c>
      <c r="R30" s="17">
        <v>286</v>
      </c>
      <c r="S30" s="17">
        <v>207</v>
      </c>
      <c r="T30" s="17">
        <v>0</v>
      </c>
      <c r="U30" s="17">
        <v>556</v>
      </c>
      <c r="V30" s="46">
        <v>68</v>
      </c>
    </row>
    <row r="31" spans="1:22" x14ac:dyDescent="0.2">
      <c r="A31" s="45" t="str">
        <f>VLOOKUP("&lt;T2Zeilentitel_16&gt;",Uebersetzungen!$B$3:$E$302,Uebersetzungen!$B$2+1,FALSE)</f>
        <v>Appenzell Ausserrhoden</v>
      </c>
      <c r="B31" s="13">
        <v>16369</v>
      </c>
      <c r="C31" s="16">
        <v>13121</v>
      </c>
      <c r="D31" s="17">
        <v>1930</v>
      </c>
      <c r="E31" s="17">
        <v>27</v>
      </c>
      <c r="F31" s="17">
        <v>119</v>
      </c>
      <c r="G31" s="17">
        <v>128</v>
      </c>
      <c r="H31" s="17">
        <v>165</v>
      </c>
      <c r="I31" s="17">
        <v>166</v>
      </c>
      <c r="J31" s="17">
        <v>737</v>
      </c>
      <c r="K31" s="17">
        <v>106</v>
      </c>
      <c r="L31" s="17">
        <v>333</v>
      </c>
      <c r="M31" s="17">
        <v>106</v>
      </c>
      <c r="N31" s="17">
        <v>11</v>
      </c>
      <c r="O31" s="17">
        <v>32</v>
      </c>
      <c r="P31" s="17">
        <v>633</v>
      </c>
      <c r="Q31" s="17">
        <v>124</v>
      </c>
      <c r="R31" s="17">
        <v>132</v>
      </c>
      <c r="S31" s="17">
        <v>267</v>
      </c>
      <c r="T31" s="17">
        <v>110</v>
      </c>
      <c r="U31" s="17">
        <v>383</v>
      </c>
      <c r="V31" s="46">
        <v>302</v>
      </c>
    </row>
    <row r="32" spans="1:22" x14ac:dyDescent="0.2">
      <c r="A32" s="45" t="str">
        <f>VLOOKUP("&lt;T2Zeilentitel_17&gt;",Uebersetzungen!$B$3:$E$302,Uebersetzungen!$B$2+1,FALSE)</f>
        <v>Appenzell Innerrhoden</v>
      </c>
      <c r="B32" s="13">
        <v>5319</v>
      </c>
      <c r="C32" s="16">
        <v>4403</v>
      </c>
      <c r="D32" s="17">
        <v>465</v>
      </c>
      <c r="E32" s="17">
        <v>16</v>
      </c>
      <c r="F32" s="17">
        <v>34</v>
      </c>
      <c r="G32" s="17">
        <v>26</v>
      </c>
      <c r="H32" s="17">
        <v>79</v>
      </c>
      <c r="I32" s="17">
        <v>18</v>
      </c>
      <c r="J32" s="17">
        <v>125</v>
      </c>
      <c r="K32" s="17">
        <v>13</v>
      </c>
      <c r="L32" s="17">
        <v>55</v>
      </c>
      <c r="M32" s="17">
        <v>49</v>
      </c>
      <c r="N32" s="17">
        <v>4</v>
      </c>
      <c r="O32" s="17">
        <v>46</v>
      </c>
      <c r="P32" s="17">
        <v>122</v>
      </c>
      <c r="Q32" s="17">
        <v>18</v>
      </c>
      <c r="R32" s="17">
        <v>80</v>
      </c>
      <c r="S32" s="17">
        <v>23</v>
      </c>
      <c r="T32" s="17">
        <v>1</v>
      </c>
      <c r="U32" s="17">
        <v>88</v>
      </c>
      <c r="V32" s="46">
        <v>241</v>
      </c>
    </row>
    <row r="33" spans="1:22" x14ac:dyDescent="0.2">
      <c r="A33" s="45" t="str">
        <f>VLOOKUP("&lt;T2Zeilentitel_18&gt;",Uebersetzungen!$B$3:$E$302,Uebersetzungen!$B$2+1,FALSE)</f>
        <v>St. Gallen</v>
      </c>
      <c r="B33" s="13">
        <v>115089</v>
      </c>
      <c r="C33" s="16">
        <v>91548</v>
      </c>
      <c r="D33" s="17">
        <v>16523</v>
      </c>
      <c r="E33" s="17">
        <v>258</v>
      </c>
      <c r="F33" s="17">
        <v>795</v>
      </c>
      <c r="G33" s="17">
        <v>887</v>
      </c>
      <c r="H33" s="17">
        <v>1133</v>
      </c>
      <c r="I33" s="17">
        <v>2652</v>
      </c>
      <c r="J33" s="17">
        <v>7159</v>
      </c>
      <c r="K33" s="17">
        <v>640</v>
      </c>
      <c r="L33" s="17">
        <v>1379</v>
      </c>
      <c r="M33" s="17">
        <v>1364</v>
      </c>
      <c r="N33" s="17">
        <v>102</v>
      </c>
      <c r="O33" s="17">
        <v>154</v>
      </c>
      <c r="P33" s="17">
        <v>3065</v>
      </c>
      <c r="Q33" s="17">
        <v>193</v>
      </c>
      <c r="R33" s="17">
        <v>1344</v>
      </c>
      <c r="S33" s="17">
        <v>322</v>
      </c>
      <c r="T33" s="17">
        <v>1206</v>
      </c>
      <c r="U33" s="17">
        <v>3806</v>
      </c>
      <c r="V33" s="46">
        <v>147</v>
      </c>
    </row>
    <row r="34" spans="1:22" x14ac:dyDescent="0.2">
      <c r="A34" s="62" t="str">
        <f>VLOOKUP("&lt;T2Zeilentitel_19&gt;",Uebersetzungen!$B$3:$E$302,Uebersetzungen!$B$2+1,FALSE)</f>
        <v>Graubünden</v>
      </c>
      <c r="B34" s="63">
        <v>73158</v>
      </c>
      <c r="C34" s="64">
        <v>54811</v>
      </c>
      <c r="D34" s="65">
        <v>7187</v>
      </c>
      <c r="E34" s="65">
        <v>76</v>
      </c>
      <c r="F34" s="65">
        <v>221</v>
      </c>
      <c r="G34" s="65">
        <v>285</v>
      </c>
      <c r="H34" s="65">
        <v>1201</v>
      </c>
      <c r="I34" s="65">
        <v>548</v>
      </c>
      <c r="J34" s="65">
        <v>2022</v>
      </c>
      <c r="K34" s="65">
        <v>269</v>
      </c>
      <c r="L34" s="65">
        <v>1494</v>
      </c>
      <c r="M34" s="65">
        <v>538</v>
      </c>
      <c r="N34" s="65">
        <v>66</v>
      </c>
      <c r="O34" s="65">
        <v>467</v>
      </c>
      <c r="P34" s="65">
        <v>3297</v>
      </c>
      <c r="Q34" s="65">
        <v>857</v>
      </c>
      <c r="R34" s="65">
        <v>1800</v>
      </c>
      <c r="S34" s="65">
        <v>478</v>
      </c>
      <c r="T34" s="65">
        <v>162</v>
      </c>
      <c r="U34" s="65">
        <v>5118</v>
      </c>
      <c r="V34" s="66">
        <v>2745</v>
      </c>
    </row>
    <row r="35" spans="1:22" x14ac:dyDescent="0.2">
      <c r="A35" s="45" t="str">
        <f>VLOOKUP("&lt;T2Zeilentitel_20&gt;",Uebersetzungen!$B$3:$E$302,Uebersetzungen!$B$2+1,FALSE)</f>
        <v>Aargau</v>
      </c>
      <c r="B35" s="13">
        <v>154784</v>
      </c>
      <c r="C35" s="16">
        <v>81652</v>
      </c>
      <c r="D35" s="17">
        <v>16559</v>
      </c>
      <c r="E35" s="17">
        <v>144</v>
      </c>
      <c r="F35" s="17">
        <v>471</v>
      </c>
      <c r="G35" s="17">
        <v>886</v>
      </c>
      <c r="H35" s="17">
        <v>959</v>
      </c>
      <c r="I35" s="17">
        <v>3540</v>
      </c>
      <c r="J35" s="17">
        <v>7587</v>
      </c>
      <c r="K35" s="17">
        <v>676</v>
      </c>
      <c r="L35" s="17">
        <v>1189</v>
      </c>
      <c r="M35" s="17">
        <v>722</v>
      </c>
      <c r="N35" s="17">
        <v>137</v>
      </c>
      <c r="O35" s="17">
        <v>248</v>
      </c>
      <c r="P35" s="17">
        <v>46162</v>
      </c>
      <c r="Q35" s="17">
        <v>42965</v>
      </c>
      <c r="R35" s="17">
        <v>2282</v>
      </c>
      <c r="S35" s="17">
        <v>914</v>
      </c>
      <c r="T35" s="17">
        <v>1</v>
      </c>
      <c r="U35" s="17">
        <v>10301</v>
      </c>
      <c r="V35" s="46">
        <v>110</v>
      </c>
    </row>
    <row r="36" spans="1:22" x14ac:dyDescent="0.2">
      <c r="A36" s="45" t="str">
        <f>VLOOKUP("&lt;T2Zeilentitel_21&gt;",Uebersetzungen!$B$3:$E$302,Uebersetzungen!$B$2+1,FALSE)</f>
        <v>Thurgau</v>
      </c>
      <c r="B36" s="13">
        <v>66836</v>
      </c>
      <c r="C36" s="16">
        <v>53947</v>
      </c>
      <c r="D36" s="17">
        <v>7938</v>
      </c>
      <c r="E36" s="17">
        <v>90</v>
      </c>
      <c r="F36" s="17">
        <v>391</v>
      </c>
      <c r="G36" s="17">
        <v>470</v>
      </c>
      <c r="H36" s="17">
        <v>560</v>
      </c>
      <c r="I36" s="17">
        <v>1271</v>
      </c>
      <c r="J36" s="17">
        <v>3401</v>
      </c>
      <c r="K36" s="17">
        <v>432</v>
      </c>
      <c r="L36" s="17">
        <v>772</v>
      </c>
      <c r="M36" s="17">
        <v>455</v>
      </c>
      <c r="N36" s="17">
        <v>43</v>
      </c>
      <c r="O36" s="17">
        <v>53</v>
      </c>
      <c r="P36" s="17">
        <v>2622</v>
      </c>
      <c r="Q36" s="17">
        <v>259</v>
      </c>
      <c r="R36" s="17">
        <v>1225</v>
      </c>
      <c r="S36" s="17">
        <v>635</v>
      </c>
      <c r="T36" s="17">
        <v>503</v>
      </c>
      <c r="U36" s="17">
        <v>2194</v>
      </c>
      <c r="V36" s="46">
        <v>135</v>
      </c>
    </row>
    <row r="37" spans="1:22" x14ac:dyDescent="0.2">
      <c r="A37" s="45" t="str">
        <f>VLOOKUP("&lt;T2Zeilentitel_22&gt;",Uebersetzungen!$B$3:$E$302,Uebersetzungen!$B$2+1,FALSE)</f>
        <v>Tessin</v>
      </c>
      <c r="B37" s="13">
        <v>114039</v>
      </c>
      <c r="C37" s="16">
        <v>93675</v>
      </c>
      <c r="D37" s="17">
        <v>5787</v>
      </c>
      <c r="E37" s="17">
        <v>37</v>
      </c>
      <c r="F37" s="17">
        <v>106</v>
      </c>
      <c r="G37" s="17">
        <v>156</v>
      </c>
      <c r="H37" s="17">
        <v>402</v>
      </c>
      <c r="I37" s="17">
        <v>567</v>
      </c>
      <c r="J37" s="17">
        <v>1644</v>
      </c>
      <c r="K37" s="17">
        <v>181</v>
      </c>
      <c r="L37" s="17">
        <v>381</v>
      </c>
      <c r="M37" s="17">
        <v>407</v>
      </c>
      <c r="N37" s="17">
        <v>27</v>
      </c>
      <c r="O37" s="17">
        <v>1879</v>
      </c>
      <c r="P37" s="17">
        <v>4490</v>
      </c>
      <c r="Q37" s="17">
        <v>406</v>
      </c>
      <c r="R37" s="17">
        <v>3894</v>
      </c>
      <c r="S37" s="17">
        <v>189</v>
      </c>
      <c r="T37" s="17">
        <v>1</v>
      </c>
      <c r="U37" s="17">
        <v>4530</v>
      </c>
      <c r="V37" s="46">
        <v>5557</v>
      </c>
    </row>
    <row r="38" spans="1:22" x14ac:dyDescent="0.2">
      <c r="A38" s="45" t="str">
        <f>VLOOKUP("&lt;T2Zeilentitel_23&gt;",Uebersetzungen!$B$3:$E$302,Uebersetzungen!$B$2+1,FALSE)</f>
        <v>Waadt</v>
      </c>
      <c r="B38" s="13">
        <v>137797</v>
      </c>
      <c r="C38" s="16">
        <v>91941</v>
      </c>
      <c r="D38" s="17">
        <v>17110</v>
      </c>
      <c r="E38" s="17">
        <v>163</v>
      </c>
      <c r="F38" s="17">
        <v>330</v>
      </c>
      <c r="G38" s="17">
        <v>629</v>
      </c>
      <c r="H38" s="17">
        <v>963</v>
      </c>
      <c r="I38" s="17">
        <v>3950</v>
      </c>
      <c r="J38" s="17">
        <v>4606</v>
      </c>
      <c r="K38" s="17">
        <v>480</v>
      </c>
      <c r="L38" s="17">
        <v>888</v>
      </c>
      <c r="M38" s="17">
        <v>1514</v>
      </c>
      <c r="N38" s="17">
        <v>89</v>
      </c>
      <c r="O38" s="17">
        <v>3498</v>
      </c>
      <c r="P38" s="17">
        <v>12921</v>
      </c>
      <c r="Q38" s="17">
        <v>7849</v>
      </c>
      <c r="R38" s="17">
        <v>4902</v>
      </c>
      <c r="S38" s="17">
        <v>170</v>
      </c>
      <c r="T38" s="17">
        <v>0</v>
      </c>
      <c r="U38" s="17">
        <v>12907</v>
      </c>
      <c r="V38" s="46">
        <v>2918</v>
      </c>
    </row>
    <row r="39" spans="1:22" x14ac:dyDescent="0.2">
      <c r="A39" s="45" t="str">
        <f>VLOOKUP("&lt;T2Zeilentitel_24&gt;",Uebersetzungen!$B$3:$E$302,Uebersetzungen!$B$2+1,FALSE)</f>
        <v>Wallis</v>
      </c>
      <c r="B39" s="13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46"/>
    </row>
    <row r="40" spans="1:22" x14ac:dyDescent="0.2">
      <c r="A40" s="45" t="str">
        <f>VLOOKUP("&lt;T2Zeilentitel_25&gt;",Uebersetzungen!$B$3:$E$302,Uebersetzungen!$B$2+1,FALSE)</f>
        <v>Neuenburg</v>
      </c>
      <c r="B40" s="13">
        <v>31484</v>
      </c>
      <c r="C40" s="16">
        <v>23460</v>
      </c>
      <c r="D40" s="17">
        <v>3941</v>
      </c>
      <c r="E40" s="17">
        <v>28</v>
      </c>
      <c r="F40" s="17">
        <v>128</v>
      </c>
      <c r="G40" s="17">
        <v>117</v>
      </c>
      <c r="H40" s="17">
        <v>188</v>
      </c>
      <c r="I40" s="17">
        <v>991</v>
      </c>
      <c r="J40" s="17">
        <v>1147</v>
      </c>
      <c r="K40" s="17">
        <v>101</v>
      </c>
      <c r="L40" s="17">
        <v>680</v>
      </c>
      <c r="M40" s="17">
        <v>192</v>
      </c>
      <c r="N40" s="17">
        <v>20</v>
      </c>
      <c r="O40" s="17">
        <v>349</v>
      </c>
      <c r="P40" s="17">
        <v>1830</v>
      </c>
      <c r="Q40" s="17">
        <v>446</v>
      </c>
      <c r="R40" s="17">
        <v>1299</v>
      </c>
      <c r="S40" s="17">
        <v>76</v>
      </c>
      <c r="T40" s="17">
        <v>9</v>
      </c>
      <c r="U40" s="17">
        <v>1730</v>
      </c>
      <c r="V40" s="46">
        <v>523</v>
      </c>
    </row>
    <row r="41" spans="1:22" x14ac:dyDescent="0.2">
      <c r="A41" s="45" t="str">
        <f>VLOOKUP("&lt;T2Zeilentitel_26&gt;",Uebersetzungen!$B$3:$E$302,Uebersetzungen!$B$2+1,FALSE)</f>
        <v>Genf</v>
      </c>
      <c r="B41" s="13">
        <v>45244</v>
      </c>
      <c r="C41" s="16">
        <v>28977</v>
      </c>
      <c r="D41" s="17">
        <v>11931</v>
      </c>
      <c r="E41" s="17">
        <v>25</v>
      </c>
      <c r="F41" s="17">
        <v>33</v>
      </c>
      <c r="G41" s="17">
        <v>270</v>
      </c>
      <c r="H41" s="17">
        <v>236</v>
      </c>
      <c r="I41" s="17">
        <v>3188</v>
      </c>
      <c r="J41" s="17">
        <v>4145</v>
      </c>
      <c r="K41" s="17">
        <v>129</v>
      </c>
      <c r="L41" s="17">
        <v>2188</v>
      </c>
      <c r="M41" s="17">
        <v>528</v>
      </c>
      <c r="N41" s="17">
        <v>104</v>
      </c>
      <c r="O41" s="17">
        <v>1085</v>
      </c>
      <c r="P41" s="17">
        <v>1182</v>
      </c>
      <c r="Q41" s="17">
        <v>260</v>
      </c>
      <c r="R41" s="17">
        <v>670</v>
      </c>
      <c r="S41" s="17">
        <v>252</v>
      </c>
      <c r="T41" s="17">
        <v>0</v>
      </c>
      <c r="U41" s="17">
        <v>2525</v>
      </c>
      <c r="V41" s="46">
        <v>629</v>
      </c>
    </row>
    <row r="42" spans="1:22" ht="13.5" thickBot="1" x14ac:dyDescent="0.25">
      <c r="A42" s="48" t="str">
        <f>VLOOKUP("&lt;T2Zeilentitel_27&gt;",Uebersetzungen!$B$3:$E$302,Uebersetzungen!$B$2+1,FALSE)</f>
        <v>Jura</v>
      </c>
      <c r="B42" s="49">
        <v>23465</v>
      </c>
      <c r="C42" s="59">
        <v>18604</v>
      </c>
      <c r="D42" s="60">
        <v>1980</v>
      </c>
      <c r="E42" s="60">
        <v>54</v>
      </c>
      <c r="F42" s="60">
        <v>140</v>
      </c>
      <c r="G42" s="60">
        <v>153</v>
      </c>
      <c r="H42" s="60">
        <v>213</v>
      </c>
      <c r="I42" s="60">
        <v>140</v>
      </c>
      <c r="J42" s="60">
        <v>712</v>
      </c>
      <c r="K42" s="60">
        <v>73</v>
      </c>
      <c r="L42" s="60">
        <v>243</v>
      </c>
      <c r="M42" s="60">
        <v>113</v>
      </c>
      <c r="N42" s="60">
        <v>10</v>
      </c>
      <c r="O42" s="60">
        <v>129</v>
      </c>
      <c r="P42" s="60">
        <v>2047</v>
      </c>
      <c r="Q42" s="60">
        <v>1289</v>
      </c>
      <c r="R42" s="60">
        <v>681</v>
      </c>
      <c r="S42" s="60">
        <v>77</v>
      </c>
      <c r="T42" s="60">
        <v>0</v>
      </c>
      <c r="U42" s="60">
        <v>735</v>
      </c>
      <c r="V42" s="61">
        <v>99</v>
      </c>
    </row>
    <row r="43" spans="1:22" x14ac:dyDescent="0.2">
      <c r="A43" s="5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">
      <c r="A44" s="8" t="str">
        <f>VLOOKUP("&lt;Legende_1&gt;",Uebersetzungen!$B$3:$E$323,Uebersetzungen!$B$2+1,FALSE)</f>
        <v>* Entfällt, weil trivial oder Begriffe nicht anwendbar</v>
      </c>
    </row>
    <row r="46" spans="1:22" ht="12.75" customHeight="1" x14ac:dyDescent="0.2">
      <c r="A46" s="35" t="str">
        <f>VLOOKUP("&lt;Legende_2&gt;",Uebersetzungen!$B$3:$E$323,Uebersetzungen!$B$2+1,FALSE)</f>
        <v>Die Statistik der Eigentümertypen der Gebäude wird erstellt, indem die Informationen zu den Wohngebäuden aus dem eidgenössischen Gebäude- und Wohnungsregister (GWR) mit den Grundbuchdaten zu einem oder mehreren Eigentümern verknüpft werden.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t="12.75" customHeight="1" x14ac:dyDescent="0.2">
      <c r="A47" s="35" t="str">
        <f>VLOOKUP("&lt;Legende_3&gt;",Uebersetzungen!$B$3:$E$323,Uebersetzungen!$B$2+1,FALSE)</f>
        <v>(1) Gemeinschaft: Form des kollektiven Eigentums, wobei jedes Mitglied im Besitz des gesamten Objekts ist. Zu den Gemeinschaften gehören einfache Gesellschaften, Erbengemeinschaften, Gütergemeinschaften und Gemeinderschaften.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t="12.75" customHeight="1" x14ac:dyDescent="0.2">
      <c r="A48" s="35" t="str">
        <f>VLOOKUP("&lt;Legende_4&gt;",Uebersetzungen!$B$3:$E$323,Uebersetzungen!$B$2+1,FALSE)</f>
        <v>(2) Gemischt: Eigentümertyp, dem Gebäude zugeordnet werden, die mindestens zwei verschiedene Eigentümertypen aufweisen. Da die Anteile jedes Eigentümertyps nicht immer bekannt sind, kann das Gebäude keiner der beiden Kategorien eindeutig zugeordnet werden.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ht="12.75" customHeight="1" x14ac:dyDescent="0.2">
      <c r="A49" s="35" t="str">
        <f>VLOOKUP("&lt;Legende_5&gt;",Uebersetzungen!$B$3:$E$323,Uebersetzungen!$B$2+1,FALSE)</f>
        <v>(3) Unbekannt: Eigentümertyp, dem Gebäude zugeordnet werden, bei denen die Grundbücher keine Informationen zu den Eigentümern enthalten.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ht="12.75" customHeight="1" x14ac:dyDescent="0.2">
      <c r="A50" s="35" t="str">
        <f>VLOOKUP("&lt;Legende_6&gt;",Uebersetzungen!$B$3:$E$323,Uebersetzungen!$B$2+1,FALSE)</f>
        <v>(4) Die Kantone Zürich und Wallis sind nicht in der Statistik berücksichtigt, weil die Qualität ihrer aktuellen Daten bzw. die Verknüpfungsmöglichkeiten mit dem GWR noch nicht ausreichen.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ht="12.75" customHeight="1" x14ac:dyDescent="0.2">
      <c r="A51" s="35" t="str">
        <f>VLOOKUP("&lt;T3Legende_7&gt;",Uebersetzungen!$B$3:$E$323,Uebersetzungen!$B$2+1,FALSE)</f>
        <v>(5) NOGA: Mit der Allgemeinen Systematik der Wirtschaftszweige (NOGA) können die Unternehmen anhand ihrer wirtschaftlichen Haupttätigkeit klassiert und konsistent gruppiert werden.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3" spans="1:22" x14ac:dyDescent="0.2">
      <c r="A53" s="8" t="str">
        <f>VLOOKUP("&lt;Quelle_1&gt;",Uebersetzungen!$B$3:$E$323,Uebersetzungen!$B$2+1,FALSE)</f>
        <v>Quelle: BFS (Gebäude- und Wohnungsstatistik)</v>
      </c>
    </row>
    <row r="54" spans="1:22" x14ac:dyDescent="0.2">
      <c r="A54" s="8" t="str">
        <f>VLOOKUP("&lt;Aktualisierung&gt;",Uebersetzungen!$B$3:$E$323,Uebersetzungen!$B$2+1,FALSE)</f>
        <v>Letztmals aktualisiert am: 14.03.2024</v>
      </c>
    </row>
    <row r="55" spans="1:22" x14ac:dyDescent="0.2">
      <c r="A55" s="9"/>
    </row>
  </sheetData>
  <sheetProtection sheet="1" objects="1" scenarios="1"/>
  <mergeCells count="18">
    <mergeCell ref="A51:V51"/>
    <mergeCell ref="A49:V49"/>
    <mergeCell ref="A50:V50"/>
    <mergeCell ref="C13:C15"/>
    <mergeCell ref="D13:O13"/>
    <mergeCell ref="D14:D15"/>
    <mergeCell ref="E14:O14"/>
    <mergeCell ref="P13:T13"/>
    <mergeCell ref="P14:P15"/>
    <mergeCell ref="Q14:T14"/>
    <mergeCell ref="U13:U15"/>
    <mergeCell ref="A7:D7"/>
    <mergeCell ref="B12:B15"/>
    <mergeCell ref="C12:V12"/>
    <mergeCell ref="A46:V46"/>
    <mergeCell ref="A47:V47"/>
    <mergeCell ref="A48:V48"/>
    <mergeCell ref="V13:V15"/>
  </mergeCells>
  <pageMargins left="0.7" right="0.7" top="0.78740157499999996" bottom="0.78740157499999996" header="0.3" footer="0.3"/>
  <pageSetup paperSize="9" scale="56" orientation="portrait" r:id="rId1"/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4</xdr:col>
                    <xdr:colOff>504825</xdr:colOff>
                    <xdr:row>1</xdr:row>
                    <xdr:rowOff>114300</xdr:rowOff>
                  </from>
                  <to>
                    <xdr:col>5</xdr:col>
                    <xdr:colOff>609600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4</xdr:col>
                    <xdr:colOff>504825</xdr:colOff>
                    <xdr:row>2</xdr:row>
                    <xdr:rowOff>104775</xdr:rowOff>
                  </from>
                  <to>
                    <xdr:col>6</xdr:col>
                    <xdr:colOff>95250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66675</xdr:rowOff>
                  </from>
                  <to>
                    <xdr:col>5</xdr:col>
                    <xdr:colOff>609600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zoomScaleNormal="100" workbookViewId="0"/>
  </sheetViews>
  <sheetFormatPr baseColWidth="10" defaultRowHeight="12.75" x14ac:dyDescent="0.2"/>
  <cols>
    <col min="1" max="1" width="38.5703125" style="8" customWidth="1"/>
    <col min="2" max="21" width="12.42578125" style="8" customWidth="1"/>
    <col min="22" max="16384" width="11.42578125" style="8"/>
  </cols>
  <sheetData>
    <row r="1" spans="1:21" s="4" customFormat="1" x14ac:dyDescent="0.2"/>
    <row r="2" spans="1:21" s="4" customFormat="1" ht="15.75" x14ac:dyDescent="0.25">
      <c r="B2" s="33"/>
    </row>
    <row r="3" spans="1:21" s="4" customFormat="1" ht="15.75" x14ac:dyDescent="0.25">
      <c r="B3" s="33"/>
    </row>
    <row r="4" spans="1:21" s="4" customFormat="1" ht="15.75" x14ac:dyDescent="0.25">
      <c r="B4" s="33"/>
    </row>
    <row r="5" spans="1:21" s="4" customFormat="1" x14ac:dyDescent="0.2"/>
    <row r="6" spans="1:21" s="2" customFormat="1" ht="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4" customFormat="1" ht="15.75" customHeight="1" x14ac:dyDescent="0.2">
      <c r="A7" s="36" t="str">
        <f>VLOOKUP("&lt;Fachbereich&gt;",Uebersetzungen!$B$3:$E$30,Uebersetzungen!$B$2+1,FALSE)</f>
        <v>Daten &amp; Statistik</v>
      </c>
      <c r="B7" s="36"/>
      <c r="C7" s="36"/>
      <c r="D7" s="3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5"/>
      <c r="U7" s="5"/>
    </row>
    <row r="9" spans="1:21" ht="18" x14ac:dyDescent="0.25">
      <c r="A9" s="15" t="str">
        <f>VLOOKUP("&lt;T4Titel&gt;",Uebersetzungen!$B$3:$E$329,Uebersetzungen!$B$2+1,FALSE)</f>
        <v>Gebäude nach Eigentümertyp und Kanton, 2022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"/>
    </row>
    <row r="10" spans="1:2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3.5" thickBot="1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">
      <c r="A12" s="39"/>
      <c r="B12" s="101" t="str">
        <f>VLOOKUP("&lt;SpaltenTitel_1.1&gt;",Uebersetzungen!$B$3:$E$302,Uebersetzungen!$B$2+1,FALSE)</f>
        <v>Total</v>
      </c>
      <c r="C12" s="52" t="str">
        <f>VLOOKUP("&lt;SpaltenTitel_1.2&gt;",Uebersetzungen!$B$3:$E$302,Uebersetzungen!$B$2+1,FALSE)</f>
        <v>Eigentümertyp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4"/>
    </row>
    <row r="13" spans="1:21" s="37" customFormat="1" ht="12.75" customHeight="1" x14ac:dyDescent="0.2">
      <c r="A13" s="55"/>
      <c r="B13" s="102"/>
      <c r="C13" s="91" t="str">
        <f>VLOOKUP("&lt;SpaltenTitel_1.3&gt;",Uebersetzungen!$B$3:$E$302,Uebersetzungen!$B$2+1,FALSE)</f>
        <v>Natürliche Person(en)</v>
      </c>
      <c r="D13" s="94" t="str">
        <f>VLOOKUP("&lt;SpaltenTitel_1.4&gt;",Uebersetzungen!$B$3:$E$302,Uebersetzungen!$B$2+1,FALSE)</f>
        <v>Juristische Person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4" t="str">
        <f>VLOOKUP("&lt;SpaltenTitel_1.5&gt;",Uebersetzungen!$B$3:$E$302,Uebersetzungen!$B$2+1,FALSE)</f>
        <v>Gemeinschaft (1)</v>
      </c>
      <c r="P13" s="95"/>
      <c r="Q13" s="95"/>
      <c r="R13" s="95"/>
      <c r="S13" s="96"/>
      <c r="T13" s="91" t="str">
        <f>VLOOKUP("&lt;SpaltenTitel_1.6&gt;",Uebersetzungen!$B$3:$E$302,Uebersetzungen!$B$2+1,FALSE)</f>
        <v>Gemischt (2)</v>
      </c>
      <c r="U13" s="97" t="str">
        <f>VLOOKUP("&lt;SpaltenTitel_1.7&gt;",Uebersetzungen!$B$3:$E$302,Uebersetzungen!$B$2+1,FALSE)</f>
        <v>Unbekannt (3)</v>
      </c>
    </row>
    <row r="14" spans="1:21" s="37" customFormat="1" ht="12.75" customHeight="1" x14ac:dyDescent="0.2">
      <c r="A14" s="55"/>
      <c r="B14" s="102"/>
      <c r="C14" s="93"/>
      <c r="D14" s="91" t="str">
        <f>VLOOKUP("&lt;T4SpaltenTitel_1.4.1&gt;",Uebersetzungen!$B$3:$E$302,Uebersetzungen!$B$2+1,FALSE)</f>
        <v>Total</v>
      </c>
      <c r="E14" s="94" t="str">
        <f>VLOOKUP("&lt;T4SpaltenTitel_1.4.2&gt;",Uebersetzungen!$B$3:$E$302,Uebersetzungen!$B$2+1,FALSE)</f>
        <v>Rechtsform (5)</v>
      </c>
      <c r="F14" s="95"/>
      <c r="G14" s="95"/>
      <c r="H14" s="95"/>
      <c r="I14" s="95"/>
      <c r="J14" s="95"/>
      <c r="K14" s="95"/>
      <c r="L14" s="95"/>
      <c r="M14" s="95"/>
      <c r="N14" s="95"/>
      <c r="O14" s="91" t="str">
        <f>VLOOKUP("&lt;T3SpaltenTitel_1.5.1&gt;",Uebersetzungen!$B$3:$E$302,Uebersetzungen!$B$2+1,FALSE)</f>
        <v>Total</v>
      </c>
      <c r="P14" s="94" t="str">
        <f>VLOOKUP("&lt;T3SpaltenTitel_1.5.2&gt;",Uebersetzungen!$B$3:$E$302,Uebersetzungen!$B$2+1,FALSE)</f>
        <v>Gemeinschaftstyp</v>
      </c>
      <c r="Q14" s="95"/>
      <c r="R14" s="95"/>
      <c r="S14" s="96"/>
      <c r="T14" s="93"/>
      <c r="U14" s="98"/>
    </row>
    <row r="15" spans="1:21" ht="167.25" customHeight="1" x14ac:dyDescent="0.2">
      <c r="A15" s="41"/>
      <c r="B15" s="103"/>
      <c r="C15" s="92"/>
      <c r="D15" s="92"/>
      <c r="E15" s="100" t="str">
        <f>VLOOKUP("&lt;T4SpaltenTitel_1.4.3&gt;",Uebersetzungen!$B$3:$E$302,Uebersetzungen!$B$2+1,FALSE)</f>
        <v>Aktiengesellschaft</v>
      </c>
      <c r="F15" s="100" t="str">
        <f>VLOOKUP("&lt;T4SpaltenTitel_1.4.4&gt;",Uebersetzungen!$B$3:$E$302,Uebersetzungen!$B$2+1,FALSE)</f>
        <v>Gesellschaft mit beschränkter Haftung GmbH</v>
      </c>
      <c r="G15" s="100" t="str">
        <f>VLOOKUP("&lt;T4SpaltenTitel_1.4.5&gt;",Uebersetzungen!$B$3:$E$302,Uebersetzungen!$B$2+1,FALSE)</f>
        <v>Genossenschaft</v>
      </c>
      <c r="H15" s="100" t="str">
        <f>VLOOKUP("&lt;T4SpaltenTitel_1.4.6&gt;",Uebersetzungen!$B$3:$E$302,Uebersetzungen!$B$2+1,FALSE)</f>
        <v>Verein</v>
      </c>
      <c r="I15" s="100" t="str">
        <f>VLOOKUP("&lt;T4SpaltenTitel_1.4.7&gt;",Uebersetzungen!$B$3:$E$302,Uebersetzungen!$B$2+1,FALSE)</f>
        <v>Stiftung</v>
      </c>
      <c r="J15" s="100" t="str">
        <f>VLOOKUP("&lt;T4SpaltenTitel_1.4.8&gt;",Uebersetzungen!$B$3:$E$302,Uebersetzungen!$B$2+1,FALSE)</f>
        <v xml:space="preserve">Institut des öffentlichen Rechts
</v>
      </c>
      <c r="K15" s="100" t="str">
        <f>VLOOKUP("&lt;T4SpaltenTitel_1.4.9&gt;",Uebersetzungen!$B$3:$E$302,Uebersetzungen!$B$2+1,FALSE)</f>
        <v>Rechtsformen des öffentlichen Rechts</v>
      </c>
      <c r="L15" s="100" t="str">
        <f>VLOOKUP("&lt;T4SpaltenTitel_1.4.10&gt;",Uebersetzungen!$B$3:$E$302,Uebersetzungen!$B$2+1,FALSE)</f>
        <v>Andere Rechtsform</v>
      </c>
      <c r="M15" s="100" t="str">
        <f>VLOOKUP("&lt;T4SpaltenTitel_1.4.11&gt;",Uebersetzungen!$B$3:$E$302,Uebersetzungen!$B$2+1,FALSE)</f>
        <v>Gemischte Rechtformen</v>
      </c>
      <c r="N15" s="100" t="str">
        <f>VLOOKUP("&lt;T4SpaltenTitel_1.4.12&gt;",Uebersetzungen!$B$3:$E$302,Uebersetzungen!$B$2+1,FALSE)</f>
        <v>Unbekannte Rechtsform</v>
      </c>
      <c r="O15" s="92"/>
      <c r="P15" s="100" t="str">
        <f>VLOOKUP("&lt;T3SpaltenTitel_1.5.3&gt;",Uebersetzungen!$B$3:$E$302,Uebersetzungen!$B$2+1,FALSE)</f>
        <v>Einfache Gesellschaft</v>
      </c>
      <c r="Q15" s="100" t="str">
        <f>VLOOKUP("&lt;T3SpaltenTitel_1.5.4&gt;",Uebersetzungen!$B$3:$E$302,Uebersetzungen!$B$2+1,FALSE)</f>
        <v>Erbengemeinschaft</v>
      </c>
      <c r="R15" s="100" t="str">
        <f>VLOOKUP("&lt;T3SpaltenTitel_1.5.5&gt;",Uebersetzungen!$B$3:$E$302,Uebersetzungen!$B$2+1,FALSE)</f>
        <v>Andere</v>
      </c>
      <c r="S15" s="100" t="str">
        <f>VLOOKUP("&lt;T3SpaltenTitel_1.5.6&gt;",Uebersetzungen!$B$3:$E$302,Uebersetzungen!$B$2+1,FALSE)</f>
        <v>Unbekannt</v>
      </c>
      <c r="T15" s="92"/>
      <c r="U15" s="99"/>
    </row>
    <row r="16" spans="1:21" x14ac:dyDescent="0.2">
      <c r="A16" s="45" t="str">
        <f>VLOOKUP("&lt;T2Zeilentitel_1&gt;",Uebersetzungen!$B$3:$E$302,Uebersetzungen!$B$2+1,FALSE)</f>
        <v>Total (Schweiz ohne ZH und VS) (4)</v>
      </c>
      <c r="B16" s="13">
        <v>1438755</v>
      </c>
      <c r="C16" s="16">
        <v>964272</v>
      </c>
      <c r="D16" s="17">
        <v>171612</v>
      </c>
      <c r="E16" s="17">
        <v>80096</v>
      </c>
      <c r="F16" s="17">
        <v>8883</v>
      </c>
      <c r="G16" s="17">
        <v>16157</v>
      </c>
      <c r="H16" s="17">
        <v>7479</v>
      </c>
      <c r="I16" s="17">
        <v>21736</v>
      </c>
      <c r="J16" s="17">
        <v>7422</v>
      </c>
      <c r="K16" s="17">
        <v>16418</v>
      </c>
      <c r="L16" s="17">
        <v>810</v>
      </c>
      <c r="M16" s="17">
        <v>1429</v>
      </c>
      <c r="N16" s="17">
        <v>11182</v>
      </c>
      <c r="O16" s="17">
        <v>206568</v>
      </c>
      <c r="P16" s="17">
        <v>157864</v>
      </c>
      <c r="Q16" s="17">
        <v>32724</v>
      </c>
      <c r="R16" s="17">
        <v>12700</v>
      </c>
      <c r="S16" s="17">
        <v>3280</v>
      </c>
      <c r="T16" s="17">
        <v>80692</v>
      </c>
      <c r="U16" s="46">
        <v>15611</v>
      </c>
    </row>
    <row r="17" spans="1:21" x14ac:dyDescent="0.2">
      <c r="A17" s="45" t="str">
        <f>VLOOKUP("&lt;T2Zeilentitel_2&gt;",Uebersetzungen!$B$3:$E$302,Uebersetzungen!$B$2+1,FALSE)</f>
        <v>Zürich</v>
      </c>
      <c r="B17" s="13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46"/>
    </row>
    <row r="18" spans="1:21" x14ac:dyDescent="0.2">
      <c r="A18" s="45" t="str">
        <f>VLOOKUP("&lt;T2Zeilentitel_3&gt;",Uebersetzungen!$B$3:$E$302,Uebersetzungen!$B$2+1,FALSE)</f>
        <v>Bern</v>
      </c>
      <c r="B18" s="13">
        <v>238956</v>
      </c>
      <c r="C18" s="16">
        <v>128376</v>
      </c>
      <c r="D18" s="17">
        <v>27731</v>
      </c>
      <c r="E18" s="17">
        <v>11762</v>
      </c>
      <c r="F18" s="17">
        <v>1529</v>
      </c>
      <c r="G18" s="17">
        <v>4044</v>
      </c>
      <c r="H18" s="17">
        <v>1235</v>
      </c>
      <c r="I18" s="17">
        <v>3886</v>
      </c>
      <c r="J18" s="17">
        <v>652</v>
      </c>
      <c r="K18" s="17">
        <v>2794</v>
      </c>
      <c r="L18" s="17">
        <v>47</v>
      </c>
      <c r="M18" s="17">
        <v>311</v>
      </c>
      <c r="N18" s="17">
        <v>1471</v>
      </c>
      <c r="O18" s="17">
        <v>66098</v>
      </c>
      <c r="P18" s="17">
        <v>56335</v>
      </c>
      <c r="Q18" s="17">
        <v>6127</v>
      </c>
      <c r="R18" s="17">
        <v>3636</v>
      </c>
      <c r="S18" s="17">
        <v>0</v>
      </c>
      <c r="T18" s="17">
        <v>15957</v>
      </c>
      <c r="U18" s="46">
        <v>794</v>
      </c>
    </row>
    <row r="19" spans="1:21" x14ac:dyDescent="0.2">
      <c r="A19" s="45" t="str">
        <f>VLOOKUP("&lt;T2Zeilentitel_4&gt;",Uebersetzungen!$B$3:$E$302,Uebersetzungen!$B$2+1,FALSE)</f>
        <v>Luzern</v>
      </c>
      <c r="B19" s="13">
        <v>70220</v>
      </c>
      <c r="C19" s="16">
        <v>51617</v>
      </c>
      <c r="D19" s="17">
        <v>10830</v>
      </c>
      <c r="E19" s="17">
        <v>5189</v>
      </c>
      <c r="F19" s="17">
        <v>516</v>
      </c>
      <c r="G19" s="17">
        <v>1977</v>
      </c>
      <c r="H19" s="17">
        <v>460</v>
      </c>
      <c r="I19" s="17">
        <v>1202</v>
      </c>
      <c r="J19" s="17">
        <v>634</v>
      </c>
      <c r="K19" s="17">
        <v>550</v>
      </c>
      <c r="L19" s="17">
        <v>103</v>
      </c>
      <c r="M19" s="17">
        <v>111</v>
      </c>
      <c r="N19" s="17">
        <v>88</v>
      </c>
      <c r="O19" s="17">
        <v>4179</v>
      </c>
      <c r="P19" s="17">
        <v>2339</v>
      </c>
      <c r="Q19" s="17">
        <v>914</v>
      </c>
      <c r="R19" s="17">
        <v>674</v>
      </c>
      <c r="S19" s="17">
        <v>252</v>
      </c>
      <c r="T19" s="17">
        <v>3551</v>
      </c>
      <c r="U19" s="46">
        <v>43</v>
      </c>
    </row>
    <row r="20" spans="1:21" x14ac:dyDescent="0.2">
      <c r="A20" s="45" t="str">
        <f>VLOOKUP("&lt;T2Zeilentitel_5&gt;",Uebersetzungen!$B$3:$E$302,Uebersetzungen!$B$2+1,FALSE)</f>
        <v>Uri</v>
      </c>
      <c r="B20" s="13">
        <v>10275</v>
      </c>
      <c r="C20" s="16">
        <v>7894</v>
      </c>
      <c r="D20" s="17">
        <v>959</v>
      </c>
      <c r="E20" s="17">
        <v>359</v>
      </c>
      <c r="F20" s="17">
        <v>90</v>
      </c>
      <c r="G20" s="17">
        <v>143</v>
      </c>
      <c r="H20" s="17">
        <v>80</v>
      </c>
      <c r="I20" s="17">
        <v>94</v>
      </c>
      <c r="J20" s="17">
        <v>36</v>
      </c>
      <c r="K20" s="17">
        <v>137</v>
      </c>
      <c r="L20" s="17">
        <v>0</v>
      </c>
      <c r="M20" s="17">
        <v>7</v>
      </c>
      <c r="N20" s="17">
        <v>13</v>
      </c>
      <c r="O20" s="17">
        <v>909</v>
      </c>
      <c r="P20" s="17">
        <v>681</v>
      </c>
      <c r="Q20" s="17">
        <v>182</v>
      </c>
      <c r="R20" s="17">
        <v>37</v>
      </c>
      <c r="S20" s="17">
        <v>9</v>
      </c>
      <c r="T20" s="17">
        <v>461</v>
      </c>
      <c r="U20" s="46">
        <v>52</v>
      </c>
    </row>
    <row r="21" spans="1:21" x14ac:dyDescent="0.2">
      <c r="A21" s="45" t="str">
        <f>VLOOKUP("&lt;T2Zeilentitel_6&gt;",Uebersetzungen!$B$3:$E$302,Uebersetzungen!$B$2+1,FALSE)</f>
        <v>Schwyz</v>
      </c>
      <c r="B21" s="13">
        <v>32306</v>
      </c>
      <c r="C21" s="16">
        <v>25506</v>
      </c>
      <c r="D21" s="17">
        <v>3759</v>
      </c>
      <c r="E21" s="17">
        <v>2120</v>
      </c>
      <c r="F21" s="17">
        <v>184</v>
      </c>
      <c r="G21" s="17">
        <v>127</v>
      </c>
      <c r="H21" s="17">
        <v>114</v>
      </c>
      <c r="I21" s="17">
        <v>337</v>
      </c>
      <c r="J21" s="17">
        <v>80</v>
      </c>
      <c r="K21" s="17">
        <v>741</v>
      </c>
      <c r="L21" s="17">
        <v>8</v>
      </c>
      <c r="M21" s="17">
        <v>13</v>
      </c>
      <c r="N21" s="17">
        <v>35</v>
      </c>
      <c r="O21" s="17">
        <v>1367</v>
      </c>
      <c r="P21" s="17">
        <v>522</v>
      </c>
      <c r="Q21" s="17">
        <v>572</v>
      </c>
      <c r="R21" s="17">
        <v>192</v>
      </c>
      <c r="S21" s="17">
        <v>81</v>
      </c>
      <c r="T21" s="17">
        <v>1595</v>
      </c>
      <c r="U21" s="46">
        <v>79</v>
      </c>
    </row>
    <row r="22" spans="1:21" x14ac:dyDescent="0.2">
      <c r="A22" s="45" t="str">
        <f>VLOOKUP("&lt;T2Zeilentitel_7&gt;",Uebersetzungen!$B$3:$E$302,Uebersetzungen!$B$2+1,FALSE)</f>
        <v>Obwalden</v>
      </c>
      <c r="B22" s="13">
        <v>9497</v>
      </c>
      <c r="C22" s="16">
        <v>7343</v>
      </c>
      <c r="D22" s="17">
        <v>1052</v>
      </c>
      <c r="E22" s="17">
        <v>529</v>
      </c>
      <c r="F22" s="17">
        <v>65</v>
      </c>
      <c r="G22" s="17">
        <v>52</v>
      </c>
      <c r="H22" s="17">
        <v>48</v>
      </c>
      <c r="I22" s="17">
        <v>59</v>
      </c>
      <c r="J22" s="17">
        <v>36</v>
      </c>
      <c r="K22" s="17">
        <v>224</v>
      </c>
      <c r="L22" s="17">
        <v>0</v>
      </c>
      <c r="M22" s="17">
        <v>2</v>
      </c>
      <c r="N22" s="17">
        <v>37</v>
      </c>
      <c r="O22" s="17">
        <v>449</v>
      </c>
      <c r="P22" s="17">
        <v>216</v>
      </c>
      <c r="Q22" s="17">
        <v>159</v>
      </c>
      <c r="R22" s="17">
        <v>72</v>
      </c>
      <c r="S22" s="17">
        <v>2</v>
      </c>
      <c r="T22" s="17">
        <v>592</v>
      </c>
      <c r="U22" s="46">
        <v>61</v>
      </c>
    </row>
    <row r="23" spans="1:21" x14ac:dyDescent="0.2">
      <c r="A23" s="45" t="str">
        <f>VLOOKUP("&lt;T2Zeilentitel_8&gt;",Uebersetzungen!$B$3:$E$302,Uebersetzungen!$B$2+1,FALSE)</f>
        <v>Nidwalden</v>
      </c>
      <c r="B23" s="13">
        <v>8042</v>
      </c>
      <c r="C23" s="16">
        <v>6210</v>
      </c>
      <c r="D23" s="17">
        <v>1019</v>
      </c>
      <c r="E23" s="17">
        <v>483</v>
      </c>
      <c r="F23" s="17">
        <v>65</v>
      </c>
      <c r="G23" s="17">
        <v>36</v>
      </c>
      <c r="H23" s="17">
        <v>64</v>
      </c>
      <c r="I23" s="17">
        <v>85</v>
      </c>
      <c r="J23" s="17">
        <v>38</v>
      </c>
      <c r="K23" s="17">
        <v>159</v>
      </c>
      <c r="L23" s="17">
        <v>1</v>
      </c>
      <c r="M23" s="17">
        <v>6</v>
      </c>
      <c r="N23" s="17">
        <v>82</v>
      </c>
      <c r="O23" s="17">
        <v>315</v>
      </c>
      <c r="P23" s="17">
        <v>118</v>
      </c>
      <c r="Q23" s="17">
        <v>120</v>
      </c>
      <c r="R23" s="17">
        <v>72</v>
      </c>
      <c r="S23" s="17">
        <v>5</v>
      </c>
      <c r="T23" s="17">
        <v>463</v>
      </c>
      <c r="U23" s="46">
        <v>35</v>
      </c>
    </row>
    <row r="24" spans="1:21" x14ac:dyDescent="0.2">
      <c r="A24" s="45" t="str">
        <f>VLOOKUP("&lt;T2Zeilentitel_9&gt;",Uebersetzungen!$B$3:$E$302,Uebersetzungen!$B$2+1,FALSE)</f>
        <v>Glarus</v>
      </c>
      <c r="B24" s="13">
        <v>14002</v>
      </c>
      <c r="C24" s="16">
        <v>10892</v>
      </c>
      <c r="D24" s="17">
        <v>1938</v>
      </c>
      <c r="E24" s="17">
        <v>836</v>
      </c>
      <c r="F24" s="17">
        <v>152</v>
      </c>
      <c r="G24" s="17">
        <v>68</v>
      </c>
      <c r="H24" s="17">
        <v>69</v>
      </c>
      <c r="I24" s="17">
        <v>112</v>
      </c>
      <c r="J24" s="17">
        <v>63</v>
      </c>
      <c r="K24" s="17">
        <v>596</v>
      </c>
      <c r="L24" s="17">
        <v>5</v>
      </c>
      <c r="M24" s="17">
        <v>21</v>
      </c>
      <c r="N24" s="17">
        <v>16</v>
      </c>
      <c r="O24" s="17">
        <v>881</v>
      </c>
      <c r="P24" s="17">
        <v>5</v>
      </c>
      <c r="Q24" s="17">
        <v>1</v>
      </c>
      <c r="R24" s="17">
        <v>0</v>
      </c>
      <c r="S24" s="17">
        <v>875</v>
      </c>
      <c r="T24" s="17">
        <v>286</v>
      </c>
      <c r="U24" s="46">
        <v>5</v>
      </c>
    </row>
    <row r="25" spans="1:21" x14ac:dyDescent="0.2">
      <c r="A25" s="45" t="str">
        <f>VLOOKUP("&lt;T2Zeilentitel_10&gt;",Uebersetzungen!$B$3:$E$302,Uebersetzungen!$B$2+1,FALSE)</f>
        <v>Zug</v>
      </c>
      <c r="B25" s="13">
        <v>16325</v>
      </c>
      <c r="C25" s="16">
        <v>8861</v>
      </c>
      <c r="D25" s="17">
        <v>2519</v>
      </c>
      <c r="E25" s="17">
        <v>1252</v>
      </c>
      <c r="F25" s="17">
        <v>38</v>
      </c>
      <c r="G25" s="17">
        <v>183</v>
      </c>
      <c r="H25" s="17">
        <v>145</v>
      </c>
      <c r="I25" s="17">
        <v>382</v>
      </c>
      <c r="J25" s="17">
        <v>88</v>
      </c>
      <c r="K25" s="17">
        <v>369</v>
      </c>
      <c r="L25" s="17">
        <v>5</v>
      </c>
      <c r="M25" s="17">
        <v>25</v>
      </c>
      <c r="N25" s="17">
        <v>32</v>
      </c>
      <c r="O25" s="17">
        <v>2866</v>
      </c>
      <c r="P25" s="17">
        <v>2403</v>
      </c>
      <c r="Q25" s="17">
        <v>385</v>
      </c>
      <c r="R25" s="17">
        <v>78</v>
      </c>
      <c r="S25" s="17">
        <v>0</v>
      </c>
      <c r="T25" s="17">
        <v>2012</v>
      </c>
      <c r="U25" s="46">
        <v>67</v>
      </c>
    </row>
    <row r="26" spans="1:21" x14ac:dyDescent="0.2">
      <c r="A26" s="45" t="str">
        <f>VLOOKUP("&lt;T2Zeilentitel_11&gt;",Uebersetzungen!$B$3:$E$302,Uebersetzungen!$B$2+1,FALSE)</f>
        <v>Freiburg</v>
      </c>
      <c r="B26" s="13">
        <v>74140</v>
      </c>
      <c r="C26" s="16">
        <v>52734</v>
      </c>
      <c r="D26" s="17">
        <v>6574</v>
      </c>
      <c r="E26" s="17">
        <v>2725</v>
      </c>
      <c r="F26" s="17">
        <v>410</v>
      </c>
      <c r="G26" s="17">
        <v>374</v>
      </c>
      <c r="H26" s="17">
        <v>268</v>
      </c>
      <c r="I26" s="17">
        <v>836</v>
      </c>
      <c r="J26" s="17">
        <v>416</v>
      </c>
      <c r="K26" s="17">
        <v>538</v>
      </c>
      <c r="L26" s="17">
        <v>80</v>
      </c>
      <c r="M26" s="17">
        <v>48</v>
      </c>
      <c r="N26" s="17">
        <v>879</v>
      </c>
      <c r="O26" s="17">
        <v>10849</v>
      </c>
      <c r="P26" s="17">
        <v>9011</v>
      </c>
      <c r="Q26" s="17">
        <v>1709</v>
      </c>
      <c r="R26" s="17">
        <v>129</v>
      </c>
      <c r="S26" s="17">
        <v>0</v>
      </c>
      <c r="T26" s="17">
        <v>3251</v>
      </c>
      <c r="U26" s="46">
        <v>732</v>
      </c>
    </row>
    <row r="27" spans="1:21" x14ac:dyDescent="0.2">
      <c r="A27" s="45" t="str">
        <f>VLOOKUP("&lt;T2Zeilentitel_12&gt;",Uebersetzungen!$B$3:$E$302,Uebersetzungen!$B$2+1,FALSE)</f>
        <v>Solothurn</v>
      </c>
      <c r="B27" s="13">
        <v>70481</v>
      </c>
      <c r="C27" s="16">
        <v>52118</v>
      </c>
      <c r="D27" s="17">
        <v>7196</v>
      </c>
      <c r="E27" s="17">
        <v>3773</v>
      </c>
      <c r="F27" s="17">
        <v>523</v>
      </c>
      <c r="G27" s="17">
        <v>487</v>
      </c>
      <c r="H27" s="17">
        <v>432</v>
      </c>
      <c r="I27" s="17">
        <v>1096</v>
      </c>
      <c r="J27" s="17">
        <v>136</v>
      </c>
      <c r="K27" s="17">
        <v>511</v>
      </c>
      <c r="L27" s="17">
        <v>19</v>
      </c>
      <c r="M27" s="17">
        <v>35</v>
      </c>
      <c r="N27" s="17">
        <v>184</v>
      </c>
      <c r="O27" s="17">
        <v>8922</v>
      </c>
      <c r="P27" s="17">
        <v>5214</v>
      </c>
      <c r="Q27" s="17">
        <v>1022</v>
      </c>
      <c r="R27" s="17">
        <v>2686</v>
      </c>
      <c r="S27" s="17">
        <v>0</v>
      </c>
      <c r="T27" s="17">
        <v>2175</v>
      </c>
      <c r="U27" s="46">
        <v>70</v>
      </c>
    </row>
    <row r="28" spans="1:21" x14ac:dyDescent="0.2">
      <c r="A28" s="45" t="str">
        <f>VLOOKUP("&lt;T2Zeilentitel_13&gt;",Uebersetzungen!$B$3:$E$302,Uebersetzungen!$B$2+1,FALSE)</f>
        <v>Basel-Stadt</v>
      </c>
      <c r="B28" s="13">
        <v>23793</v>
      </c>
      <c r="C28" s="16">
        <v>9404</v>
      </c>
      <c r="D28" s="17">
        <v>7348</v>
      </c>
      <c r="E28" s="17">
        <v>2271</v>
      </c>
      <c r="F28" s="17">
        <v>66</v>
      </c>
      <c r="G28" s="17">
        <v>2386</v>
      </c>
      <c r="H28" s="17">
        <v>254</v>
      </c>
      <c r="I28" s="17">
        <v>1322</v>
      </c>
      <c r="J28" s="17">
        <v>249</v>
      </c>
      <c r="K28" s="17">
        <v>604</v>
      </c>
      <c r="L28" s="17">
        <v>12</v>
      </c>
      <c r="M28" s="17">
        <v>72</v>
      </c>
      <c r="N28" s="17">
        <v>112</v>
      </c>
      <c r="O28" s="17">
        <v>5254</v>
      </c>
      <c r="P28" s="17">
        <v>4217</v>
      </c>
      <c r="Q28" s="17">
        <v>647</v>
      </c>
      <c r="R28" s="17">
        <v>390</v>
      </c>
      <c r="S28" s="17">
        <v>0</v>
      </c>
      <c r="T28" s="17">
        <v>1733</v>
      </c>
      <c r="U28" s="46">
        <v>54</v>
      </c>
    </row>
    <row r="29" spans="1:21" x14ac:dyDescent="0.2">
      <c r="A29" s="45" t="str">
        <f>VLOOKUP("&lt;T2Zeilentitel_14&gt;",Uebersetzungen!$B$3:$E$302,Uebersetzungen!$B$2+1,FALSE)</f>
        <v>Basel-Landschaft</v>
      </c>
      <c r="B29" s="13">
        <v>67665</v>
      </c>
      <c r="C29" s="16">
        <v>31392</v>
      </c>
      <c r="D29" s="17">
        <v>6964</v>
      </c>
      <c r="E29" s="17">
        <v>3182</v>
      </c>
      <c r="F29" s="17">
        <v>180</v>
      </c>
      <c r="G29" s="17">
        <v>832</v>
      </c>
      <c r="H29" s="17">
        <v>247</v>
      </c>
      <c r="I29" s="17">
        <v>1302</v>
      </c>
      <c r="J29" s="17">
        <v>395</v>
      </c>
      <c r="K29" s="17">
        <v>680</v>
      </c>
      <c r="L29" s="17">
        <v>16</v>
      </c>
      <c r="M29" s="17">
        <v>101</v>
      </c>
      <c r="N29" s="17">
        <v>29</v>
      </c>
      <c r="O29" s="17">
        <v>25421</v>
      </c>
      <c r="P29" s="17">
        <v>21943</v>
      </c>
      <c r="Q29" s="17">
        <v>2291</v>
      </c>
      <c r="R29" s="17">
        <v>1124</v>
      </c>
      <c r="S29" s="17">
        <v>63</v>
      </c>
      <c r="T29" s="17">
        <v>3743</v>
      </c>
      <c r="U29" s="46">
        <v>145</v>
      </c>
    </row>
    <row r="30" spans="1:21" x14ac:dyDescent="0.2">
      <c r="A30" s="45" t="str">
        <f>VLOOKUP("&lt;T2Zeilentitel_15&gt;",Uebersetzungen!$B$3:$E$302,Uebersetzungen!$B$2+1,FALSE)</f>
        <v>Schaffhausen</v>
      </c>
      <c r="B30" s="13">
        <v>19469</v>
      </c>
      <c r="C30" s="16">
        <v>15786</v>
      </c>
      <c r="D30" s="17">
        <v>2372</v>
      </c>
      <c r="E30" s="17">
        <v>1097</v>
      </c>
      <c r="F30" s="17">
        <v>138</v>
      </c>
      <c r="G30" s="17">
        <v>295</v>
      </c>
      <c r="H30" s="17">
        <v>82</v>
      </c>
      <c r="I30" s="17">
        <v>324</v>
      </c>
      <c r="J30" s="17">
        <v>71</v>
      </c>
      <c r="K30" s="17">
        <v>296</v>
      </c>
      <c r="L30" s="17">
        <v>6</v>
      </c>
      <c r="M30" s="17">
        <v>17</v>
      </c>
      <c r="N30" s="17">
        <v>46</v>
      </c>
      <c r="O30" s="17">
        <v>687</v>
      </c>
      <c r="P30" s="17">
        <v>194</v>
      </c>
      <c r="Q30" s="17">
        <v>286</v>
      </c>
      <c r="R30" s="17">
        <v>207</v>
      </c>
      <c r="S30" s="17">
        <v>0</v>
      </c>
      <c r="T30" s="17">
        <v>556</v>
      </c>
      <c r="U30" s="46">
        <v>68</v>
      </c>
    </row>
    <row r="31" spans="1:21" x14ac:dyDescent="0.2">
      <c r="A31" s="45" t="str">
        <f>VLOOKUP("&lt;T2Zeilentitel_16&gt;",Uebersetzungen!$B$3:$E$302,Uebersetzungen!$B$2+1,FALSE)</f>
        <v>Appenzell Ausserrhoden</v>
      </c>
      <c r="B31" s="13">
        <v>16369</v>
      </c>
      <c r="C31" s="16">
        <v>13121</v>
      </c>
      <c r="D31" s="17">
        <v>1930</v>
      </c>
      <c r="E31" s="17">
        <v>1077</v>
      </c>
      <c r="F31" s="17">
        <v>174</v>
      </c>
      <c r="G31" s="17">
        <v>87</v>
      </c>
      <c r="H31" s="17">
        <v>101</v>
      </c>
      <c r="I31" s="17">
        <v>166</v>
      </c>
      <c r="J31" s="17">
        <v>19</v>
      </c>
      <c r="K31" s="17">
        <v>250</v>
      </c>
      <c r="L31" s="17">
        <v>0</v>
      </c>
      <c r="M31" s="17">
        <v>18</v>
      </c>
      <c r="N31" s="17">
        <v>38</v>
      </c>
      <c r="O31" s="17">
        <v>633</v>
      </c>
      <c r="P31" s="17">
        <v>124</v>
      </c>
      <c r="Q31" s="17">
        <v>132</v>
      </c>
      <c r="R31" s="17">
        <v>267</v>
      </c>
      <c r="S31" s="17">
        <v>110</v>
      </c>
      <c r="T31" s="17">
        <v>383</v>
      </c>
      <c r="U31" s="46">
        <v>302</v>
      </c>
    </row>
    <row r="32" spans="1:21" x14ac:dyDescent="0.2">
      <c r="A32" s="45" t="str">
        <f>VLOOKUP("&lt;T2Zeilentitel_17&gt;",Uebersetzungen!$B$3:$E$302,Uebersetzungen!$B$2+1,FALSE)</f>
        <v>Appenzell Innerrhoden</v>
      </c>
      <c r="B32" s="13">
        <v>5319</v>
      </c>
      <c r="C32" s="16">
        <v>4403</v>
      </c>
      <c r="D32" s="17">
        <v>465</v>
      </c>
      <c r="E32" s="17">
        <v>246</v>
      </c>
      <c r="F32" s="17">
        <v>29</v>
      </c>
      <c r="G32" s="17">
        <v>29</v>
      </c>
      <c r="H32" s="17">
        <v>41</v>
      </c>
      <c r="I32" s="17">
        <v>25</v>
      </c>
      <c r="J32" s="17">
        <v>2</v>
      </c>
      <c r="K32" s="17">
        <v>45</v>
      </c>
      <c r="L32" s="17">
        <v>2</v>
      </c>
      <c r="M32" s="17">
        <v>0</v>
      </c>
      <c r="N32" s="17">
        <v>46</v>
      </c>
      <c r="O32" s="17">
        <v>122</v>
      </c>
      <c r="P32" s="17">
        <v>18</v>
      </c>
      <c r="Q32" s="17">
        <v>80</v>
      </c>
      <c r="R32" s="17">
        <v>23</v>
      </c>
      <c r="S32" s="17">
        <v>1</v>
      </c>
      <c r="T32" s="17">
        <v>88</v>
      </c>
      <c r="U32" s="46">
        <v>241</v>
      </c>
    </row>
    <row r="33" spans="1:21" x14ac:dyDescent="0.2">
      <c r="A33" s="45" t="str">
        <f>VLOOKUP("&lt;T2Zeilentitel_18&gt;",Uebersetzungen!$B$3:$E$302,Uebersetzungen!$B$2+1,FALSE)</f>
        <v>St. Gallen</v>
      </c>
      <c r="B33" s="13">
        <v>115089</v>
      </c>
      <c r="C33" s="16">
        <v>91548</v>
      </c>
      <c r="D33" s="17">
        <v>16523</v>
      </c>
      <c r="E33" s="17">
        <v>9186</v>
      </c>
      <c r="F33" s="17">
        <v>1054</v>
      </c>
      <c r="G33" s="17">
        <v>1469</v>
      </c>
      <c r="H33" s="17">
        <v>895</v>
      </c>
      <c r="I33" s="17">
        <v>1490</v>
      </c>
      <c r="J33" s="17">
        <v>321</v>
      </c>
      <c r="K33" s="17">
        <v>1791</v>
      </c>
      <c r="L33" s="17">
        <v>21</v>
      </c>
      <c r="M33" s="17">
        <v>141</v>
      </c>
      <c r="N33" s="17">
        <v>155</v>
      </c>
      <c r="O33" s="17">
        <v>3065</v>
      </c>
      <c r="P33" s="17">
        <v>193</v>
      </c>
      <c r="Q33" s="17">
        <v>1344</v>
      </c>
      <c r="R33" s="17">
        <v>322</v>
      </c>
      <c r="S33" s="17">
        <v>1206</v>
      </c>
      <c r="T33" s="17">
        <v>3806</v>
      </c>
      <c r="U33" s="46">
        <v>147</v>
      </c>
    </row>
    <row r="34" spans="1:21" x14ac:dyDescent="0.2">
      <c r="A34" s="62" t="str">
        <f>VLOOKUP("&lt;T2Zeilentitel_19&gt;",Uebersetzungen!$B$3:$E$302,Uebersetzungen!$B$2+1,FALSE)</f>
        <v>Graubünden</v>
      </c>
      <c r="B34" s="63">
        <v>73158</v>
      </c>
      <c r="C34" s="64">
        <v>54811</v>
      </c>
      <c r="D34" s="65">
        <v>7187</v>
      </c>
      <c r="E34" s="65">
        <v>3565</v>
      </c>
      <c r="F34" s="65">
        <v>288</v>
      </c>
      <c r="G34" s="65">
        <v>392</v>
      </c>
      <c r="H34" s="65">
        <v>295</v>
      </c>
      <c r="I34" s="65">
        <v>555</v>
      </c>
      <c r="J34" s="65">
        <v>206</v>
      </c>
      <c r="K34" s="65">
        <v>1279</v>
      </c>
      <c r="L34" s="65">
        <v>26</v>
      </c>
      <c r="M34" s="65">
        <v>82</v>
      </c>
      <c r="N34" s="65">
        <v>499</v>
      </c>
      <c r="O34" s="65">
        <v>3297</v>
      </c>
      <c r="P34" s="65">
        <v>857</v>
      </c>
      <c r="Q34" s="65">
        <v>1800</v>
      </c>
      <c r="R34" s="65">
        <v>478</v>
      </c>
      <c r="S34" s="65">
        <v>162</v>
      </c>
      <c r="T34" s="65">
        <v>5118</v>
      </c>
      <c r="U34" s="66">
        <v>2745</v>
      </c>
    </row>
    <row r="35" spans="1:21" x14ac:dyDescent="0.2">
      <c r="A35" s="45" t="str">
        <f>VLOOKUP("&lt;T2Zeilentitel_20&gt;",Uebersetzungen!$B$3:$E$302,Uebersetzungen!$B$2+1,FALSE)</f>
        <v>Aargau</v>
      </c>
      <c r="B35" s="13">
        <v>154784</v>
      </c>
      <c r="C35" s="16">
        <v>81652</v>
      </c>
      <c r="D35" s="17">
        <v>16559</v>
      </c>
      <c r="E35" s="17">
        <v>10021</v>
      </c>
      <c r="F35" s="17">
        <v>915</v>
      </c>
      <c r="G35" s="17">
        <v>933</v>
      </c>
      <c r="H35" s="17">
        <v>575</v>
      </c>
      <c r="I35" s="17">
        <v>2379</v>
      </c>
      <c r="J35" s="17">
        <v>299</v>
      </c>
      <c r="K35" s="17">
        <v>1034</v>
      </c>
      <c r="L35" s="17">
        <v>29</v>
      </c>
      <c r="M35" s="17">
        <v>126</v>
      </c>
      <c r="N35" s="17">
        <v>248</v>
      </c>
      <c r="O35" s="17">
        <v>46162</v>
      </c>
      <c r="P35" s="17">
        <v>42965</v>
      </c>
      <c r="Q35" s="17">
        <v>2282</v>
      </c>
      <c r="R35" s="17">
        <v>914</v>
      </c>
      <c r="S35" s="17">
        <v>1</v>
      </c>
      <c r="T35" s="17">
        <v>10301</v>
      </c>
      <c r="U35" s="46">
        <v>110</v>
      </c>
    </row>
    <row r="36" spans="1:21" x14ac:dyDescent="0.2">
      <c r="A36" s="45" t="str">
        <f>VLOOKUP("&lt;T2Zeilentitel_21&gt;",Uebersetzungen!$B$3:$E$302,Uebersetzungen!$B$2+1,FALSE)</f>
        <v>Thurgau</v>
      </c>
      <c r="B36" s="13">
        <v>66836</v>
      </c>
      <c r="C36" s="16">
        <v>53947</v>
      </c>
      <c r="D36" s="17">
        <v>7938</v>
      </c>
      <c r="E36" s="17">
        <v>4662</v>
      </c>
      <c r="F36" s="17">
        <v>727</v>
      </c>
      <c r="G36" s="17">
        <v>608</v>
      </c>
      <c r="H36" s="17">
        <v>343</v>
      </c>
      <c r="I36" s="17">
        <v>723</v>
      </c>
      <c r="J36" s="17">
        <v>100</v>
      </c>
      <c r="K36" s="17">
        <v>682</v>
      </c>
      <c r="L36" s="17">
        <v>11</v>
      </c>
      <c r="M36" s="17">
        <v>29</v>
      </c>
      <c r="N36" s="17">
        <v>53</v>
      </c>
      <c r="O36" s="17">
        <v>2622</v>
      </c>
      <c r="P36" s="17">
        <v>259</v>
      </c>
      <c r="Q36" s="17">
        <v>1225</v>
      </c>
      <c r="R36" s="17">
        <v>635</v>
      </c>
      <c r="S36" s="17">
        <v>503</v>
      </c>
      <c r="T36" s="17">
        <v>2194</v>
      </c>
      <c r="U36" s="46">
        <v>135</v>
      </c>
    </row>
    <row r="37" spans="1:21" x14ac:dyDescent="0.2">
      <c r="A37" s="45" t="str">
        <f>VLOOKUP("&lt;T2Zeilentitel_22&gt;",Uebersetzungen!$B$3:$E$302,Uebersetzungen!$B$2+1,FALSE)</f>
        <v>Tessin</v>
      </c>
      <c r="B37" s="13">
        <v>114039</v>
      </c>
      <c r="C37" s="16">
        <v>93675</v>
      </c>
      <c r="D37" s="17">
        <v>5787</v>
      </c>
      <c r="E37" s="17">
        <v>2593</v>
      </c>
      <c r="F37" s="17">
        <v>156</v>
      </c>
      <c r="G37" s="17">
        <v>69</v>
      </c>
      <c r="H37" s="17">
        <v>188</v>
      </c>
      <c r="I37" s="17">
        <v>593</v>
      </c>
      <c r="J37" s="17">
        <v>52</v>
      </c>
      <c r="K37" s="17">
        <v>223</v>
      </c>
      <c r="L37" s="17">
        <v>5</v>
      </c>
      <c r="M37" s="17">
        <v>28</v>
      </c>
      <c r="N37" s="17">
        <v>1880</v>
      </c>
      <c r="O37" s="17">
        <v>4490</v>
      </c>
      <c r="P37" s="17">
        <v>406</v>
      </c>
      <c r="Q37" s="17">
        <v>3894</v>
      </c>
      <c r="R37" s="17">
        <v>189</v>
      </c>
      <c r="S37" s="17">
        <v>1</v>
      </c>
      <c r="T37" s="17">
        <v>4530</v>
      </c>
      <c r="U37" s="46">
        <v>5557</v>
      </c>
    </row>
    <row r="38" spans="1:21" x14ac:dyDescent="0.2">
      <c r="A38" s="45" t="str">
        <f>VLOOKUP("&lt;T2Zeilentitel_23&gt;",Uebersetzungen!$B$3:$E$302,Uebersetzungen!$B$2+1,FALSE)</f>
        <v>Waadt</v>
      </c>
      <c r="B38" s="13">
        <v>137797</v>
      </c>
      <c r="C38" s="16">
        <v>91941</v>
      </c>
      <c r="D38" s="17">
        <v>17110</v>
      </c>
      <c r="E38" s="17">
        <v>6721</v>
      </c>
      <c r="F38" s="17">
        <v>955</v>
      </c>
      <c r="G38" s="17">
        <v>696</v>
      </c>
      <c r="H38" s="17">
        <v>1096</v>
      </c>
      <c r="I38" s="17">
        <v>2508</v>
      </c>
      <c r="J38" s="17">
        <v>877</v>
      </c>
      <c r="K38" s="17">
        <v>284</v>
      </c>
      <c r="L38" s="17">
        <v>217</v>
      </c>
      <c r="M38" s="17">
        <v>83</v>
      </c>
      <c r="N38" s="17">
        <v>3673</v>
      </c>
      <c r="O38" s="17">
        <v>12921</v>
      </c>
      <c r="P38" s="17">
        <v>7849</v>
      </c>
      <c r="Q38" s="17">
        <v>4902</v>
      </c>
      <c r="R38" s="17">
        <v>170</v>
      </c>
      <c r="S38" s="17">
        <v>0</v>
      </c>
      <c r="T38" s="17">
        <v>12907</v>
      </c>
      <c r="U38" s="46">
        <v>2918</v>
      </c>
    </row>
    <row r="39" spans="1:21" x14ac:dyDescent="0.2">
      <c r="A39" s="45" t="str">
        <f>VLOOKUP("&lt;T2Zeilentitel_24&gt;",Uebersetzungen!$B$3:$E$302,Uebersetzungen!$B$2+1,FALSE)</f>
        <v>Wallis</v>
      </c>
      <c r="B39" s="13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6"/>
    </row>
    <row r="40" spans="1:21" x14ac:dyDescent="0.2">
      <c r="A40" s="45" t="str">
        <f>VLOOKUP("&lt;T2Zeilentitel_25&gt;",Uebersetzungen!$B$3:$E$302,Uebersetzungen!$B$2+1,FALSE)</f>
        <v>Neuenburg</v>
      </c>
      <c r="B40" s="13">
        <v>31484</v>
      </c>
      <c r="C40" s="16">
        <v>23460</v>
      </c>
      <c r="D40" s="17">
        <v>3941</v>
      </c>
      <c r="E40" s="17">
        <v>1507</v>
      </c>
      <c r="F40" s="17">
        <v>211</v>
      </c>
      <c r="G40" s="17">
        <v>253</v>
      </c>
      <c r="H40" s="17">
        <v>129</v>
      </c>
      <c r="I40" s="17">
        <v>532</v>
      </c>
      <c r="J40" s="17">
        <v>340</v>
      </c>
      <c r="K40" s="17">
        <v>536</v>
      </c>
      <c r="L40" s="17">
        <v>67</v>
      </c>
      <c r="M40" s="17">
        <v>17</v>
      </c>
      <c r="N40" s="17">
        <v>349</v>
      </c>
      <c r="O40" s="17">
        <v>1830</v>
      </c>
      <c r="P40" s="17">
        <v>446</v>
      </c>
      <c r="Q40" s="17">
        <v>1299</v>
      </c>
      <c r="R40" s="17">
        <v>76</v>
      </c>
      <c r="S40" s="17">
        <v>9</v>
      </c>
      <c r="T40" s="17">
        <v>1730</v>
      </c>
      <c r="U40" s="46">
        <v>523</v>
      </c>
    </row>
    <row r="41" spans="1:21" x14ac:dyDescent="0.2">
      <c r="A41" s="45" t="str">
        <f>VLOOKUP("&lt;T2Zeilentitel_26&gt;",Uebersetzungen!$B$3:$E$302,Uebersetzungen!$B$2+1,FALSE)</f>
        <v>Genf</v>
      </c>
      <c r="B41" s="13">
        <v>45244</v>
      </c>
      <c r="C41" s="16">
        <v>28977</v>
      </c>
      <c r="D41" s="17">
        <v>11931</v>
      </c>
      <c r="E41" s="17">
        <v>3950</v>
      </c>
      <c r="F41" s="17">
        <v>199</v>
      </c>
      <c r="G41" s="17">
        <v>469</v>
      </c>
      <c r="H41" s="17">
        <v>259</v>
      </c>
      <c r="I41" s="17">
        <v>1600</v>
      </c>
      <c r="J41" s="17">
        <v>2279</v>
      </c>
      <c r="K41" s="17">
        <v>1840</v>
      </c>
      <c r="L41" s="17">
        <v>123</v>
      </c>
      <c r="M41" s="17">
        <v>126</v>
      </c>
      <c r="N41" s="17">
        <v>1086</v>
      </c>
      <c r="O41" s="17">
        <v>1182</v>
      </c>
      <c r="P41" s="17">
        <v>260</v>
      </c>
      <c r="Q41" s="17">
        <v>670</v>
      </c>
      <c r="R41" s="17">
        <v>252</v>
      </c>
      <c r="S41" s="17">
        <v>0</v>
      </c>
      <c r="T41" s="17">
        <v>2525</v>
      </c>
      <c r="U41" s="46">
        <v>629</v>
      </c>
    </row>
    <row r="42" spans="1:21" ht="13.5" thickBot="1" x14ac:dyDescent="0.25">
      <c r="A42" s="48" t="str">
        <f>VLOOKUP("&lt;T2Zeilentitel_27&gt;",Uebersetzungen!$B$3:$E$302,Uebersetzungen!$B$2+1,FALSE)</f>
        <v>Jura</v>
      </c>
      <c r="B42" s="49">
        <v>23465</v>
      </c>
      <c r="C42" s="59">
        <v>18604</v>
      </c>
      <c r="D42" s="60">
        <v>1980</v>
      </c>
      <c r="E42" s="60">
        <v>990</v>
      </c>
      <c r="F42" s="60">
        <v>219</v>
      </c>
      <c r="G42" s="60">
        <v>148</v>
      </c>
      <c r="H42" s="60">
        <v>59</v>
      </c>
      <c r="I42" s="60">
        <v>128</v>
      </c>
      <c r="J42" s="60">
        <v>33</v>
      </c>
      <c r="K42" s="60">
        <v>255</v>
      </c>
      <c r="L42" s="60">
        <v>7</v>
      </c>
      <c r="M42" s="60">
        <v>10</v>
      </c>
      <c r="N42" s="60">
        <v>131</v>
      </c>
      <c r="O42" s="60">
        <v>2047</v>
      </c>
      <c r="P42" s="60">
        <v>1289</v>
      </c>
      <c r="Q42" s="60">
        <v>681</v>
      </c>
      <c r="R42" s="60">
        <v>77</v>
      </c>
      <c r="S42" s="60">
        <v>0</v>
      </c>
      <c r="T42" s="60">
        <v>735</v>
      </c>
      <c r="U42" s="61">
        <v>99</v>
      </c>
    </row>
    <row r="43" spans="1:21" x14ac:dyDescent="0.2">
      <c r="A43" s="5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">
      <c r="A44" s="8" t="str">
        <f>VLOOKUP("&lt;Legende_1&gt;",Uebersetzungen!$B$3:$E$323,Uebersetzungen!$B$2+1,FALSE)</f>
        <v>* Entfällt, weil trivial oder Begriffe nicht anwendbar</v>
      </c>
    </row>
    <row r="46" spans="1:21" ht="12.75" customHeight="1" x14ac:dyDescent="0.2">
      <c r="A46" s="35" t="str">
        <f>VLOOKUP("&lt;Legende_2&gt;",Uebersetzungen!$B$3:$E$323,Uebersetzungen!$B$2+1,FALSE)</f>
        <v>Die Statistik der Eigentümertypen der Gebäude wird erstellt, indem die Informationen zu den Wohngebäuden aus dem eidgenössischen Gebäude- und Wohnungsregister (GWR) mit den Grundbuchdaten zu einem oder mehreren Eigentümern verknüpft werden.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12.75" customHeight="1" x14ac:dyDescent="0.2">
      <c r="A47" s="35" t="str">
        <f>VLOOKUP("&lt;Legende_3&gt;",Uebersetzungen!$B$3:$E$323,Uebersetzungen!$B$2+1,FALSE)</f>
        <v>(1) Gemeinschaft: Form des kollektiven Eigentums, wobei jedes Mitglied im Besitz des gesamten Objekts ist. Zu den Gemeinschaften gehören einfache Gesellschaften, Erbengemeinschaften, Gütergemeinschaften und Gemeinderschaften.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12.75" customHeight="1" x14ac:dyDescent="0.2">
      <c r="A48" s="35" t="str">
        <f>VLOOKUP("&lt;Legende_4&gt;",Uebersetzungen!$B$3:$E$323,Uebersetzungen!$B$2+1,FALSE)</f>
        <v>(2) Gemischt: Eigentümertyp, dem Gebäude zugeordnet werden, die mindestens zwei verschiedene Eigentümertypen aufweisen. Da die Anteile jedes Eigentümertyps nicht immer bekannt sind, kann das Gebäude keiner der beiden Kategorien eindeutig zugeordnet werden.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12.75" customHeight="1" x14ac:dyDescent="0.2">
      <c r="A49" s="35" t="str">
        <f>VLOOKUP("&lt;Legende_5&gt;",Uebersetzungen!$B$3:$E$323,Uebersetzungen!$B$2+1,FALSE)</f>
        <v>(3) Unbekannt: Eigentümertyp, dem Gebäude zugeordnet werden, bei denen die Grundbücher keine Informationen zu den Eigentümern enthalten.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12.75" customHeight="1" x14ac:dyDescent="0.2">
      <c r="A50" s="35" t="str">
        <f>VLOOKUP("&lt;Legende_6&gt;",Uebersetzungen!$B$3:$E$323,Uebersetzungen!$B$2+1,FALSE)</f>
        <v>(4) Die Kantone Zürich und Wallis sind nicht in der Statistik berücksichtigt, weil die Qualität ihrer aktuellen Daten bzw. die Verknüpfungsmöglichkeiten mit dem GWR noch nicht ausreichen.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12.75" customHeight="1" x14ac:dyDescent="0.2">
      <c r="A51" s="35" t="str">
        <f>VLOOKUP("&lt;T4Legende_7&gt;",Uebersetzungen!$B$3:$E$323,Uebersetzungen!$B$2+1,FALSE)</f>
        <v>(5) Rechtsform: Gemäss eCH-0097-Standard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3" spans="1:21" x14ac:dyDescent="0.2">
      <c r="A53" s="8" t="str">
        <f>VLOOKUP("&lt;Quelle_1&gt;",Uebersetzungen!$B$3:$E$323,Uebersetzungen!$B$2+1,FALSE)</f>
        <v>Quelle: BFS (Gebäude- und Wohnungsstatistik)</v>
      </c>
    </row>
    <row r="54" spans="1:21" x14ac:dyDescent="0.2">
      <c r="A54" s="8" t="str">
        <f>VLOOKUP("&lt;Aktualisierung&gt;",Uebersetzungen!$B$3:$E$323,Uebersetzungen!$B$2+1,FALSE)</f>
        <v>Letztmals aktualisiert am: 14.03.2024</v>
      </c>
    </row>
    <row r="55" spans="1:21" x14ac:dyDescent="0.2">
      <c r="A55" s="9"/>
    </row>
  </sheetData>
  <sheetProtection sheet="1" objects="1" scenarios="1"/>
  <mergeCells count="18">
    <mergeCell ref="A50:U50"/>
    <mergeCell ref="A51:U51"/>
    <mergeCell ref="O14:O15"/>
    <mergeCell ref="P14:S14"/>
    <mergeCell ref="A46:U46"/>
    <mergeCell ref="A47:U47"/>
    <mergeCell ref="A48:U48"/>
    <mergeCell ref="A49:U49"/>
    <mergeCell ref="A7:D7"/>
    <mergeCell ref="B12:B15"/>
    <mergeCell ref="C12:U12"/>
    <mergeCell ref="C13:C15"/>
    <mergeCell ref="D13:N13"/>
    <mergeCell ref="O13:S13"/>
    <mergeCell ref="T13:T15"/>
    <mergeCell ref="U13:U15"/>
    <mergeCell ref="D14:D15"/>
    <mergeCell ref="E14:N14"/>
  </mergeCells>
  <pageMargins left="0.7" right="0.7" top="0.78740157499999996" bottom="0.78740157499999996" header="0.3" footer="0.3"/>
  <pageSetup paperSize="9" scale="56" orientation="portrait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504825</xdr:colOff>
                    <xdr:row>1</xdr:row>
                    <xdr:rowOff>114300</xdr:rowOff>
                  </from>
                  <to>
                    <xdr:col>5</xdr:col>
                    <xdr:colOff>609600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504825</xdr:colOff>
                    <xdr:row>2</xdr:row>
                    <xdr:rowOff>104775</xdr:rowOff>
                  </from>
                  <to>
                    <xdr:col>6</xdr:col>
                    <xdr:colOff>95250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4</xdr:col>
                    <xdr:colOff>504825</xdr:colOff>
                    <xdr:row>3</xdr:row>
                    <xdr:rowOff>66675</xdr:rowOff>
                  </from>
                  <to>
                    <xdr:col>5</xdr:col>
                    <xdr:colOff>609600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baseColWidth="10" defaultRowHeight="12.75" x14ac:dyDescent="0.2"/>
  <cols>
    <col min="1" max="1" width="38.5703125" style="8" customWidth="1"/>
    <col min="2" max="7" width="13.7109375" style="8" customWidth="1"/>
    <col min="8" max="16384" width="11.42578125" style="8"/>
  </cols>
  <sheetData>
    <row r="1" spans="1:7" s="4" customFormat="1" x14ac:dyDescent="0.2"/>
    <row r="2" spans="1:7" s="4" customFormat="1" ht="15.75" x14ac:dyDescent="0.25">
      <c r="B2" s="33"/>
    </row>
    <row r="3" spans="1:7" s="4" customFormat="1" ht="15.75" x14ac:dyDescent="0.25">
      <c r="B3" s="33"/>
    </row>
    <row r="4" spans="1:7" s="4" customFormat="1" ht="15.75" x14ac:dyDescent="0.25">
      <c r="B4" s="33"/>
    </row>
    <row r="5" spans="1:7" s="4" customFormat="1" x14ac:dyDescent="0.2"/>
    <row r="6" spans="1:7" s="2" customFormat="1" ht="6" customHeight="1" x14ac:dyDescent="0.2">
      <c r="A6" s="4"/>
      <c r="B6" s="4"/>
      <c r="C6" s="4"/>
      <c r="D6" s="4"/>
      <c r="E6" s="4"/>
      <c r="F6" s="4"/>
      <c r="G6" s="4"/>
    </row>
    <row r="7" spans="1:7" s="4" customFormat="1" ht="15.75" customHeight="1" x14ac:dyDescent="0.2">
      <c r="A7" s="36" t="str">
        <f>VLOOKUP("&lt;Fachbereich&gt;",Uebersetzungen!$B$3:$E$30,Uebersetzungen!$B$2+1,FALSE)</f>
        <v>Daten &amp; Statistik</v>
      </c>
      <c r="B7" s="36"/>
      <c r="C7" s="36"/>
      <c r="D7" s="36"/>
      <c r="E7" s="34"/>
      <c r="F7" s="5"/>
      <c r="G7" s="5"/>
    </row>
    <row r="9" spans="1:7" ht="18" x14ac:dyDescent="0.25">
      <c r="A9" s="15" t="str">
        <f>VLOOKUP("&lt;T5Titel&gt;",Uebersetzungen!$B$3:$E$330,Uebersetzungen!$B$2+1,FALSE)</f>
        <v>Gebäude nach Eigentümertyp in der Stadt Chur, 2022</v>
      </c>
      <c r="B9" s="3"/>
      <c r="C9" s="3"/>
      <c r="D9" s="3"/>
      <c r="E9" s="3"/>
      <c r="F9" s="3"/>
      <c r="G9" s="1"/>
    </row>
    <row r="10" spans="1:7" x14ac:dyDescent="0.2">
      <c r="A10" s="7"/>
      <c r="B10" s="6"/>
      <c r="C10" s="6"/>
      <c r="D10" s="6"/>
      <c r="E10" s="6"/>
      <c r="F10" s="6"/>
      <c r="G10" s="6"/>
    </row>
    <row r="11" spans="1:7" ht="13.5" thickBot="1" x14ac:dyDescent="0.25">
      <c r="A11" s="7"/>
      <c r="B11" s="6"/>
      <c r="C11" s="6"/>
      <c r="D11" s="6"/>
      <c r="E11" s="6"/>
      <c r="F11" s="6"/>
      <c r="G11" s="6"/>
    </row>
    <row r="12" spans="1:7" x14ac:dyDescent="0.2">
      <c r="A12" s="39"/>
      <c r="B12" s="101" t="str">
        <f>VLOOKUP("&lt;SpaltenTitel_1.1&gt;",Uebersetzungen!$B$3:$E$302,Uebersetzungen!$B$2+1,FALSE)</f>
        <v>Total</v>
      </c>
      <c r="C12" s="52" t="str">
        <f>VLOOKUP("&lt;SpaltenTitel_1.2&gt;",Uebersetzungen!$B$3:$E$302,Uebersetzungen!$B$2+1,FALSE)</f>
        <v>Eigentümertyp</v>
      </c>
      <c r="D12" s="53"/>
      <c r="E12" s="53"/>
      <c r="F12" s="53"/>
      <c r="G12" s="54"/>
    </row>
    <row r="13" spans="1:7" s="37" customFormat="1" ht="25.5" x14ac:dyDescent="0.2">
      <c r="A13" s="55" t="str">
        <f>VLOOKUP("&lt;T5SpaltenTitel_1&gt;",Uebersetzungen!$B$3:$E$302,Uebersetzungen!$B$2+1,FALSE)</f>
        <v>Stadt Chur</v>
      </c>
      <c r="B13" s="102"/>
      <c r="C13" s="38" t="str">
        <f>VLOOKUP("&lt;SpaltenTitel_1.3&gt;",Uebersetzungen!$B$3:$E$302,Uebersetzungen!$B$2+1,FALSE)</f>
        <v>Natürliche Person(en)</v>
      </c>
      <c r="D13" s="38" t="str">
        <f>VLOOKUP("&lt;SpaltenTitel_1.4&gt;",Uebersetzungen!$B$3:$E$302,Uebersetzungen!$B$2+1,FALSE)</f>
        <v>Juristische Person</v>
      </c>
      <c r="E13" s="38" t="str">
        <f>VLOOKUP("&lt;SpaltenTitel_1.5&gt;",Uebersetzungen!$B$3:$E$302,Uebersetzungen!$B$2+1,FALSE)</f>
        <v>Gemeinschaft (1)</v>
      </c>
      <c r="F13" s="38" t="str">
        <f>VLOOKUP("&lt;SpaltenTitel_1.6&gt;",Uebersetzungen!$B$3:$E$302,Uebersetzungen!$B$2+1,FALSE)</f>
        <v>Gemischt (2)</v>
      </c>
      <c r="G13" s="40" t="str">
        <f>VLOOKUP("&lt;SpaltenTitel_1.7&gt;",Uebersetzungen!$B$3:$E$302,Uebersetzungen!$B$2+1,FALSE)</f>
        <v>Unbekannt (3)</v>
      </c>
    </row>
    <row r="14" spans="1:7" ht="12.75" customHeight="1" x14ac:dyDescent="0.2">
      <c r="A14" s="41"/>
      <c r="B14" s="103"/>
      <c r="C14" s="10" t="s">
        <v>160</v>
      </c>
      <c r="D14" s="10" t="s">
        <v>160</v>
      </c>
      <c r="E14" s="10" t="s">
        <v>160</v>
      </c>
      <c r="F14" s="10" t="s">
        <v>160</v>
      </c>
      <c r="G14" s="42" t="s">
        <v>160</v>
      </c>
    </row>
    <row r="15" spans="1:7" x14ac:dyDescent="0.2">
      <c r="A15" s="50" t="str">
        <f>VLOOKUP("&lt;T5Zeilentitel_1&gt;",Uebersetzungen!$B$3:$E$302,Uebersetzungen!$B$2+1,FALSE)</f>
        <v>Total Chur</v>
      </c>
      <c r="B15" s="51">
        <v>4632</v>
      </c>
      <c r="C15" s="70">
        <v>65.8</v>
      </c>
      <c r="D15" s="71">
        <v>22</v>
      </c>
      <c r="E15" s="71">
        <v>5</v>
      </c>
      <c r="F15" s="71">
        <v>7.1</v>
      </c>
      <c r="G15" s="72">
        <v>0</v>
      </c>
    </row>
    <row r="16" spans="1:7" x14ac:dyDescent="0.2">
      <c r="A16" s="45" t="str">
        <f>VLOOKUP("&lt;Zeilentitel_1.2&gt;",Uebersetzungen!$B$3:$E$30,Uebersetzungen!$B$2+1,FALSE)</f>
        <v>Einfamilienhäuser</v>
      </c>
      <c r="B16" s="13">
        <v>1976</v>
      </c>
      <c r="C16" s="73">
        <v>86.7</v>
      </c>
      <c r="D16" s="74">
        <v>6.2</v>
      </c>
      <c r="E16" s="74">
        <v>3.9</v>
      </c>
      <c r="F16" s="74">
        <v>3.1</v>
      </c>
      <c r="G16" s="75">
        <v>0</v>
      </c>
    </row>
    <row r="17" spans="1:7" x14ac:dyDescent="0.2">
      <c r="A17" s="45" t="str">
        <f>VLOOKUP("&lt;Zeilentitel_1.3&gt;",Uebersetzungen!$B$3:$E$30,Uebersetzungen!$B$2+1,FALSE)</f>
        <v>Mehrfamilienhäuser</v>
      </c>
      <c r="B17" s="13">
        <v>2074</v>
      </c>
      <c r="C17" s="73">
        <v>53.2</v>
      </c>
      <c r="D17" s="74">
        <v>29.6</v>
      </c>
      <c r="E17" s="74">
        <v>6.3</v>
      </c>
      <c r="F17" s="74">
        <v>11</v>
      </c>
      <c r="G17" s="75">
        <v>0</v>
      </c>
    </row>
    <row r="18" spans="1:7" x14ac:dyDescent="0.2">
      <c r="A18" s="44" t="str">
        <f>VLOOKUP("&lt;Zeilentitel_1.4&gt;",Uebersetzungen!$B$3:$E$30,Uebersetzungen!$B$2+1,FALSE)</f>
        <v>Wohngebäude mit Nebennutzung</v>
      </c>
      <c r="B18" s="12">
        <v>320</v>
      </c>
      <c r="C18" s="76">
        <v>61.3</v>
      </c>
      <c r="D18" s="77">
        <v>24.4</v>
      </c>
      <c r="E18" s="77">
        <v>6.3</v>
      </c>
      <c r="F18" s="77">
        <v>8.1</v>
      </c>
      <c r="G18" s="78">
        <v>0</v>
      </c>
    </row>
    <row r="19" spans="1:7" ht="13.5" thickBot="1" x14ac:dyDescent="0.25">
      <c r="A19" s="104" t="str">
        <f>VLOOKUP("&lt;Zeilentitel_1.5&gt;",Uebersetzungen!$B$3:$E$30,Uebersetzungen!$B$2+1,FALSE)</f>
        <v>Gebäude mit teilweiser Wohnnutzung</v>
      </c>
      <c r="B19" s="105">
        <v>262</v>
      </c>
      <c r="C19" s="106">
        <v>14.5</v>
      </c>
      <c r="D19" s="107">
        <v>77.900000000000006</v>
      </c>
      <c r="E19" s="107">
        <v>1.9</v>
      </c>
      <c r="F19" s="107">
        <v>5.7</v>
      </c>
      <c r="G19" s="108">
        <v>0</v>
      </c>
    </row>
    <row r="20" spans="1:7" x14ac:dyDescent="0.2">
      <c r="A20" s="56"/>
      <c r="B20" s="11"/>
      <c r="C20" s="11"/>
      <c r="D20" s="11"/>
      <c r="E20" s="11"/>
      <c r="F20" s="11"/>
      <c r="G20" s="11"/>
    </row>
    <row r="21" spans="1:7" x14ac:dyDescent="0.2">
      <c r="A21" s="8" t="str">
        <f>VLOOKUP("&lt;Legende_1&gt;",Uebersetzungen!$B$3:$E$323,Uebersetzungen!$B$2+1,FALSE)</f>
        <v>* Entfällt, weil trivial oder Begriffe nicht anwendbar</v>
      </c>
    </row>
    <row r="23" spans="1:7" ht="25.5" customHeight="1" x14ac:dyDescent="0.2">
      <c r="A23" s="35" t="str">
        <f>VLOOKUP("&lt;Legende_2&gt;",Uebersetzungen!$B$3:$E$323,Uebersetzungen!$B$2+1,FALSE)</f>
        <v>Die Statistik der Eigentümertypen der Gebäude wird erstellt, indem die Informationen zu den Wohngebäuden aus dem eidgenössischen Gebäude- und Wohnungsregister (GWR) mit den Grundbuchdaten zu einem oder mehreren Eigentümern verknüpft werden.</v>
      </c>
      <c r="B23" s="35"/>
      <c r="C23" s="35"/>
      <c r="D23" s="35"/>
      <c r="E23" s="35"/>
      <c r="F23" s="35"/>
      <c r="G23" s="35"/>
    </row>
    <row r="24" spans="1:7" ht="25.5" customHeight="1" x14ac:dyDescent="0.2">
      <c r="A24" s="35" t="str">
        <f>VLOOKUP("&lt;Legende_3&gt;",Uebersetzungen!$B$3:$E$323,Uebersetzungen!$B$2+1,FALSE)</f>
        <v>(1) Gemeinschaft: Form des kollektiven Eigentums, wobei jedes Mitglied im Besitz des gesamten Objekts ist. Zu den Gemeinschaften gehören einfache Gesellschaften, Erbengemeinschaften, Gütergemeinschaften und Gemeinderschaften.</v>
      </c>
      <c r="B24" s="35"/>
      <c r="C24" s="35"/>
      <c r="D24" s="35"/>
      <c r="E24" s="35"/>
      <c r="F24" s="35"/>
      <c r="G24" s="35"/>
    </row>
    <row r="25" spans="1:7" ht="25.5" customHeight="1" x14ac:dyDescent="0.2">
      <c r="A25" s="35" t="str">
        <f>VLOOKUP("&lt;Legende_4&gt;",Uebersetzungen!$B$3:$E$323,Uebersetzungen!$B$2+1,FALSE)</f>
        <v>(2) Gemischt: Eigentümertyp, dem Gebäude zugeordnet werden, die mindestens zwei verschiedene Eigentümertypen aufweisen. Da die Anteile jedes Eigentümertyps nicht immer bekannt sind, kann das Gebäude keiner der beiden Kategorien eindeutig zugeordnet werden.</v>
      </c>
      <c r="B25" s="35"/>
      <c r="C25" s="35"/>
      <c r="D25" s="35"/>
      <c r="E25" s="35"/>
      <c r="F25" s="35"/>
      <c r="G25" s="35"/>
    </row>
    <row r="26" spans="1:7" ht="25.5" customHeight="1" x14ac:dyDescent="0.2">
      <c r="A26" s="35" t="str">
        <f>VLOOKUP("&lt;Legende_5&gt;",Uebersetzungen!$B$3:$E$323,Uebersetzungen!$B$2+1,FALSE)</f>
        <v>(3) Unbekannt: Eigentümertyp, dem Gebäude zugeordnet werden, bei denen die Grundbücher keine Informationen zu den Eigentümern enthalten.</v>
      </c>
      <c r="B26" s="35"/>
      <c r="C26" s="35"/>
      <c r="D26" s="35"/>
      <c r="E26" s="35"/>
      <c r="F26" s="35"/>
      <c r="G26" s="35"/>
    </row>
    <row r="28" spans="1:7" x14ac:dyDescent="0.2">
      <c r="A28" s="8" t="str">
        <f>VLOOKUP("&lt;Quelle_1&gt;",Uebersetzungen!$B$3:$E$323,Uebersetzungen!$B$2+1,FALSE)</f>
        <v>Quelle: BFS (Gebäude- und Wohnungsstatistik)</v>
      </c>
    </row>
    <row r="29" spans="1:7" x14ac:dyDescent="0.2">
      <c r="A29" s="8" t="str">
        <f>VLOOKUP("&lt;Aktualisierung&gt;",Uebersetzungen!$B$3:$E$323,Uebersetzungen!$B$2+1,FALSE)</f>
        <v>Letztmals aktualisiert am: 14.03.2024</v>
      </c>
    </row>
    <row r="30" spans="1:7" x14ac:dyDescent="0.2">
      <c r="A30" s="9"/>
    </row>
  </sheetData>
  <sheetProtection sheet="1" objects="1" scenarios="1"/>
  <mergeCells count="7">
    <mergeCell ref="A24:G24"/>
    <mergeCell ref="A25:G25"/>
    <mergeCell ref="A26:G26"/>
    <mergeCell ref="A7:D7"/>
    <mergeCell ref="B12:B14"/>
    <mergeCell ref="C12:G12"/>
    <mergeCell ref="A23:G23"/>
  </mergeCells>
  <pageMargins left="0.7" right="0.7" top="0.78740157499999996" bottom="0.78740157499999996" header="0.3" footer="0.3"/>
  <pageSetup paperSize="9" scale="56" orientation="portrait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4</xdr:col>
                    <xdr:colOff>247650</xdr:colOff>
                    <xdr:row>1</xdr:row>
                    <xdr:rowOff>114300</xdr:rowOff>
                  </from>
                  <to>
                    <xdr:col>5</xdr:col>
                    <xdr:colOff>266700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4</xdr:col>
                    <xdr:colOff>247650</xdr:colOff>
                    <xdr:row>2</xdr:row>
                    <xdr:rowOff>104775</xdr:rowOff>
                  </from>
                  <to>
                    <xdr:col>5</xdr:col>
                    <xdr:colOff>581025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3</xdr:row>
                    <xdr:rowOff>66675</xdr:rowOff>
                  </from>
                  <to>
                    <xdr:col>5</xdr:col>
                    <xdr:colOff>266700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21" workbookViewId="0">
      <selection activeCell="C135" sqref="C135"/>
    </sheetView>
  </sheetViews>
  <sheetFormatPr baseColWidth="10" defaultColWidth="12.5703125" defaultRowHeight="12.75" x14ac:dyDescent="0.2"/>
  <cols>
    <col min="1" max="1" width="8.5703125" style="20" bestFit="1" customWidth="1"/>
    <col min="2" max="2" width="17.7109375" style="20" bestFit="1" customWidth="1"/>
    <col min="3" max="3" width="46.7109375" style="20" bestFit="1" customWidth="1"/>
    <col min="4" max="4" width="47.5703125" style="20" bestFit="1" customWidth="1"/>
    <col min="5" max="5" width="47" style="20" bestFit="1" customWidth="1"/>
    <col min="6" max="16384" width="12.5703125" style="20"/>
  </cols>
  <sheetData>
    <row r="1" spans="1:6" x14ac:dyDescent="0.2">
      <c r="A1" s="18" t="s">
        <v>26</v>
      </c>
      <c r="B1" s="18" t="s">
        <v>27</v>
      </c>
      <c r="C1" s="18" t="s">
        <v>28</v>
      </c>
      <c r="D1" s="18" t="s">
        <v>29</v>
      </c>
      <c r="E1" s="18" t="s">
        <v>30</v>
      </c>
      <c r="F1" s="19"/>
    </row>
    <row r="2" spans="1:6" x14ac:dyDescent="0.2">
      <c r="A2" s="21" t="s">
        <v>31</v>
      </c>
      <c r="B2" s="22">
        <v>1</v>
      </c>
      <c r="C2" s="19"/>
      <c r="D2" s="19"/>
      <c r="E2" s="19"/>
      <c r="F2" s="19"/>
    </row>
    <row r="3" spans="1:6" x14ac:dyDescent="0.2">
      <c r="A3" s="21"/>
      <c r="B3" s="20" t="s">
        <v>32</v>
      </c>
      <c r="C3" s="23" t="s">
        <v>33</v>
      </c>
      <c r="D3" s="23" t="s">
        <v>34</v>
      </c>
      <c r="E3" s="23" t="s">
        <v>35</v>
      </c>
      <c r="F3" s="19"/>
    </row>
    <row r="4" spans="1:6" ht="25.5" x14ac:dyDescent="0.2">
      <c r="A4" s="21" t="s">
        <v>36</v>
      </c>
      <c r="B4" s="24" t="s">
        <v>37</v>
      </c>
      <c r="C4" s="32" t="s">
        <v>170</v>
      </c>
      <c r="D4" s="32" t="s">
        <v>171</v>
      </c>
      <c r="E4" s="32" t="s">
        <v>269</v>
      </c>
      <c r="F4" s="19"/>
    </row>
    <row r="5" spans="1:6" x14ac:dyDescent="0.2">
      <c r="A5" s="21"/>
      <c r="B5" s="20" t="s">
        <v>38</v>
      </c>
      <c r="C5" s="25"/>
      <c r="D5" s="25"/>
      <c r="E5" s="25"/>
      <c r="F5" s="19"/>
    </row>
    <row r="6" spans="1:6" x14ac:dyDescent="0.2">
      <c r="A6" s="21"/>
      <c r="B6" s="21"/>
      <c r="C6" s="26"/>
      <c r="D6" s="26"/>
      <c r="E6" s="26"/>
      <c r="F6" s="19"/>
    </row>
    <row r="7" spans="1:6" ht="14.25" customHeight="1" x14ac:dyDescent="0.2">
      <c r="A7" s="21" t="s">
        <v>39</v>
      </c>
      <c r="B7" s="20" t="s">
        <v>40</v>
      </c>
      <c r="C7" s="25" t="s">
        <v>145</v>
      </c>
      <c r="D7" s="25" t="s">
        <v>147</v>
      </c>
      <c r="E7" s="25" t="s">
        <v>149</v>
      </c>
      <c r="F7" s="19"/>
    </row>
    <row r="8" spans="1:6" x14ac:dyDescent="0.2">
      <c r="A8" s="21"/>
      <c r="B8" s="20" t="s">
        <v>42</v>
      </c>
      <c r="C8" s="25" t="s">
        <v>146</v>
      </c>
      <c r="D8" s="25" t="s">
        <v>148</v>
      </c>
      <c r="E8" s="25" t="s">
        <v>150</v>
      </c>
      <c r="F8" s="19"/>
    </row>
    <row r="9" spans="1:6" x14ac:dyDescent="0.2">
      <c r="A9" s="21"/>
      <c r="B9" s="20" t="s">
        <v>43</v>
      </c>
      <c r="C9" s="25"/>
      <c r="D9" s="25"/>
      <c r="E9" s="25"/>
      <c r="F9" s="19"/>
    </row>
    <row r="10" spans="1:6" x14ac:dyDescent="0.2">
      <c r="A10" s="21"/>
      <c r="B10" s="31" t="s">
        <v>55</v>
      </c>
      <c r="C10" s="25"/>
      <c r="D10" s="25"/>
      <c r="E10" s="25"/>
      <c r="F10" s="19"/>
    </row>
    <row r="11" spans="1:6" x14ac:dyDescent="0.2">
      <c r="A11" s="21"/>
      <c r="B11" s="21"/>
      <c r="C11" s="26"/>
      <c r="D11" s="26"/>
      <c r="E11" s="26"/>
      <c r="F11" s="21"/>
    </row>
    <row r="12" spans="1:6" x14ac:dyDescent="0.2">
      <c r="A12" s="21"/>
      <c r="B12" s="20" t="s">
        <v>44</v>
      </c>
      <c r="C12" s="25" t="s">
        <v>0</v>
      </c>
      <c r="D12" s="25" t="s">
        <v>0</v>
      </c>
      <c r="E12" s="25" t="s">
        <v>41</v>
      </c>
      <c r="F12" s="19"/>
    </row>
    <row r="13" spans="1:6" x14ac:dyDescent="0.2">
      <c r="A13" s="21"/>
      <c r="B13" s="20" t="s">
        <v>45</v>
      </c>
      <c r="C13" s="25" t="s">
        <v>22</v>
      </c>
      <c r="D13" s="25" t="s">
        <v>123</v>
      </c>
      <c r="E13" s="25" t="s">
        <v>100</v>
      </c>
      <c r="F13" s="19"/>
    </row>
    <row r="14" spans="1:6" x14ac:dyDescent="0.2">
      <c r="A14" s="21"/>
      <c r="B14" s="31" t="s">
        <v>56</v>
      </c>
      <c r="C14" s="25" t="s">
        <v>23</v>
      </c>
      <c r="D14" s="25" t="s">
        <v>122</v>
      </c>
      <c r="E14" s="25" t="s">
        <v>98</v>
      </c>
      <c r="F14" s="19"/>
    </row>
    <row r="15" spans="1:6" x14ac:dyDescent="0.2">
      <c r="A15" s="21"/>
      <c r="B15" s="31" t="s">
        <v>57</v>
      </c>
      <c r="C15" s="25" t="s">
        <v>24</v>
      </c>
      <c r="D15" s="25" t="s">
        <v>124</v>
      </c>
      <c r="E15" s="25" t="s">
        <v>99</v>
      </c>
      <c r="F15" s="19"/>
    </row>
    <row r="16" spans="1:6" x14ac:dyDescent="0.2">
      <c r="A16" s="21"/>
      <c r="B16" s="31" t="s">
        <v>161</v>
      </c>
      <c r="C16" s="25" t="s">
        <v>136</v>
      </c>
      <c r="D16" s="25" t="s">
        <v>139</v>
      </c>
      <c r="E16" s="25" t="s">
        <v>142</v>
      </c>
      <c r="F16" s="19"/>
    </row>
    <row r="17" spans="1:6" x14ac:dyDescent="0.2">
      <c r="A17" s="21"/>
      <c r="B17" s="31" t="s">
        <v>162</v>
      </c>
      <c r="C17" s="25" t="s">
        <v>137</v>
      </c>
      <c r="D17" s="25" t="s">
        <v>140</v>
      </c>
      <c r="E17" s="25" t="s">
        <v>143</v>
      </c>
      <c r="F17" s="19"/>
    </row>
    <row r="18" spans="1:6" x14ac:dyDescent="0.2">
      <c r="A18" s="21"/>
      <c r="B18" s="31" t="s">
        <v>163</v>
      </c>
      <c r="C18" s="25" t="s">
        <v>138</v>
      </c>
      <c r="D18" s="25" t="s">
        <v>141</v>
      </c>
      <c r="E18" s="25" t="s">
        <v>144</v>
      </c>
      <c r="F18" s="19"/>
    </row>
    <row r="19" spans="1:6" x14ac:dyDescent="0.2">
      <c r="A19" s="21"/>
      <c r="B19" s="19"/>
      <c r="C19" s="27"/>
      <c r="D19" s="27"/>
      <c r="E19" s="27"/>
      <c r="F19" s="19"/>
    </row>
    <row r="20" spans="1:6" x14ac:dyDescent="0.2">
      <c r="A20" s="21" t="s">
        <v>36</v>
      </c>
      <c r="B20" s="20" t="s">
        <v>46</v>
      </c>
      <c r="C20" s="25" t="s">
        <v>0</v>
      </c>
      <c r="D20" s="25" t="s">
        <v>0</v>
      </c>
      <c r="E20" s="25" t="s">
        <v>41</v>
      </c>
      <c r="F20" s="19"/>
    </row>
    <row r="21" spans="1:6" x14ac:dyDescent="0.2">
      <c r="A21" s="21"/>
      <c r="B21" s="31" t="s">
        <v>159</v>
      </c>
      <c r="C21" s="25" t="s">
        <v>153</v>
      </c>
      <c r="D21" s="25" t="s">
        <v>154</v>
      </c>
      <c r="E21" s="25" t="s">
        <v>347</v>
      </c>
      <c r="F21" s="19"/>
    </row>
    <row r="22" spans="1:6" x14ac:dyDescent="0.2">
      <c r="A22" s="19"/>
      <c r="B22" s="31" t="s">
        <v>58</v>
      </c>
      <c r="C22" s="25" t="s">
        <v>2</v>
      </c>
      <c r="D22" s="25" t="s">
        <v>109</v>
      </c>
      <c r="E22" s="25" t="s">
        <v>82</v>
      </c>
      <c r="F22" s="19"/>
    </row>
    <row r="23" spans="1:6" x14ac:dyDescent="0.2">
      <c r="A23" s="19"/>
      <c r="B23" s="31" t="s">
        <v>59</v>
      </c>
      <c r="C23" s="25" t="s">
        <v>164</v>
      </c>
      <c r="D23" s="25" t="s">
        <v>167</v>
      </c>
      <c r="E23" s="25" t="s">
        <v>169</v>
      </c>
      <c r="F23" s="19"/>
    </row>
    <row r="24" spans="1:6" x14ac:dyDescent="0.2">
      <c r="A24" s="19"/>
      <c r="B24" s="31" t="s">
        <v>60</v>
      </c>
      <c r="C24" s="25" t="s">
        <v>165</v>
      </c>
      <c r="D24" s="25" t="s">
        <v>166</v>
      </c>
      <c r="E24" s="25" t="s">
        <v>168</v>
      </c>
      <c r="F24" s="19"/>
    </row>
    <row r="25" spans="1:6" x14ac:dyDescent="0.2">
      <c r="A25" s="19"/>
      <c r="B25" s="31" t="s">
        <v>61</v>
      </c>
      <c r="C25" s="25" t="s">
        <v>3</v>
      </c>
      <c r="D25" s="25" t="s">
        <v>108</v>
      </c>
      <c r="E25" s="25" t="s">
        <v>83</v>
      </c>
      <c r="F25" s="19"/>
    </row>
    <row r="26" spans="1:6" x14ac:dyDescent="0.2">
      <c r="A26" s="19"/>
      <c r="B26" s="31" t="s">
        <v>62</v>
      </c>
      <c r="C26" s="25" t="s">
        <v>4</v>
      </c>
      <c r="D26" s="25" t="s">
        <v>107</v>
      </c>
      <c r="E26" s="25" t="s">
        <v>84</v>
      </c>
      <c r="F26" s="19"/>
    </row>
    <row r="27" spans="1:6" x14ac:dyDescent="0.2">
      <c r="A27" s="19"/>
      <c r="B27" s="31" t="s">
        <v>47</v>
      </c>
      <c r="C27" s="25" t="s">
        <v>1</v>
      </c>
      <c r="D27" s="25" t="s">
        <v>106</v>
      </c>
      <c r="E27" s="25" t="s">
        <v>85</v>
      </c>
      <c r="F27" s="19"/>
    </row>
    <row r="28" spans="1:6" x14ac:dyDescent="0.2">
      <c r="A28" s="19"/>
      <c r="B28" s="31" t="s">
        <v>63</v>
      </c>
      <c r="C28" s="25" t="s">
        <v>5</v>
      </c>
      <c r="D28" s="25" t="s">
        <v>110</v>
      </c>
      <c r="E28" s="25" t="s">
        <v>86</v>
      </c>
      <c r="F28" s="19"/>
    </row>
    <row r="29" spans="1:6" x14ac:dyDescent="0.2">
      <c r="A29" s="19"/>
      <c r="B29" s="31" t="s">
        <v>64</v>
      </c>
      <c r="C29" s="25" t="s">
        <v>6</v>
      </c>
      <c r="D29" s="25" t="s">
        <v>111</v>
      </c>
      <c r="E29" s="25" t="s">
        <v>87</v>
      </c>
      <c r="F29" s="19"/>
    </row>
    <row r="30" spans="1:6" x14ac:dyDescent="0.2">
      <c r="A30" s="19"/>
      <c r="B30" s="31" t="s">
        <v>65</v>
      </c>
      <c r="C30" s="25" t="s">
        <v>7</v>
      </c>
      <c r="D30" s="25" t="s">
        <v>112</v>
      </c>
      <c r="E30" s="25" t="s">
        <v>88</v>
      </c>
      <c r="F30" s="19"/>
    </row>
    <row r="31" spans="1:6" x14ac:dyDescent="0.2">
      <c r="A31" s="19"/>
      <c r="B31" s="31" t="s">
        <v>66</v>
      </c>
      <c r="C31" s="25" t="s">
        <v>8</v>
      </c>
      <c r="D31" s="25" t="s">
        <v>113</v>
      </c>
      <c r="E31" s="25" t="s">
        <v>89</v>
      </c>
      <c r="F31" s="19"/>
    </row>
    <row r="32" spans="1:6" x14ac:dyDescent="0.2">
      <c r="A32" s="19"/>
      <c r="B32" s="31" t="s">
        <v>67</v>
      </c>
      <c r="C32" s="25" t="s">
        <v>9</v>
      </c>
      <c r="D32" s="25" t="s">
        <v>114</v>
      </c>
      <c r="E32" s="25" t="s">
        <v>90</v>
      </c>
      <c r="F32" s="19"/>
    </row>
    <row r="33" spans="1:6" x14ac:dyDescent="0.2">
      <c r="A33" s="19"/>
      <c r="B33" s="31" t="s">
        <v>68</v>
      </c>
      <c r="C33" s="25" t="s">
        <v>10</v>
      </c>
      <c r="D33" s="25" t="s">
        <v>115</v>
      </c>
      <c r="E33" s="25" t="s">
        <v>91</v>
      </c>
      <c r="F33" s="19"/>
    </row>
    <row r="34" spans="1:6" x14ac:dyDescent="0.2">
      <c r="A34" s="19"/>
      <c r="B34" s="31" t="s">
        <v>69</v>
      </c>
      <c r="C34" s="25" t="s">
        <v>11</v>
      </c>
      <c r="D34" s="25" t="s">
        <v>116</v>
      </c>
      <c r="E34" s="25" t="s">
        <v>92</v>
      </c>
      <c r="F34" s="19"/>
    </row>
    <row r="35" spans="1:6" x14ac:dyDescent="0.2">
      <c r="A35" s="19"/>
      <c r="B35" s="31" t="s">
        <v>70</v>
      </c>
      <c r="C35" s="25" t="s">
        <v>12</v>
      </c>
      <c r="D35" s="25" t="s">
        <v>117</v>
      </c>
      <c r="E35" s="25" t="s">
        <v>93</v>
      </c>
      <c r="F35" s="19"/>
    </row>
    <row r="36" spans="1:6" x14ac:dyDescent="0.2">
      <c r="A36" s="19"/>
      <c r="B36" s="31" t="s">
        <v>71</v>
      </c>
      <c r="C36" s="25" t="s">
        <v>18</v>
      </c>
      <c r="D36" s="25" t="s">
        <v>118</v>
      </c>
      <c r="E36" s="25" t="s">
        <v>94</v>
      </c>
      <c r="F36" s="19"/>
    </row>
    <row r="37" spans="1:6" x14ac:dyDescent="0.2">
      <c r="A37" s="19"/>
      <c r="B37" s="31" t="s">
        <v>72</v>
      </c>
      <c r="C37" s="25" t="s">
        <v>20</v>
      </c>
      <c r="D37" s="25" t="s">
        <v>119</v>
      </c>
      <c r="E37" s="25" t="s">
        <v>95</v>
      </c>
      <c r="F37" s="19"/>
    </row>
    <row r="38" spans="1:6" x14ac:dyDescent="0.2">
      <c r="A38" s="19"/>
      <c r="B38" s="57" t="s">
        <v>73</v>
      </c>
      <c r="C38" s="32" t="s">
        <v>25</v>
      </c>
      <c r="D38" s="32" t="s">
        <v>120</v>
      </c>
      <c r="E38" s="32" t="s">
        <v>96</v>
      </c>
      <c r="F38" s="19"/>
    </row>
    <row r="39" spans="1:6" x14ac:dyDescent="0.2">
      <c r="A39" s="19"/>
      <c r="B39" s="31" t="s">
        <v>48</v>
      </c>
      <c r="C39" s="25" t="s">
        <v>13</v>
      </c>
      <c r="D39" s="25" t="s">
        <v>121</v>
      </c>
      <c r="E39" s="25" t="s">
        <v>97</v>
      </c>
      <c r="F39" s="19"/>
    </row>
    <row r="40" spans="1:6" x14ac:dyDescent="0.2">
      <c r="A40" s="19"/>
      <c r="B40" s="31" t="s">
        <v>74</v>
      </c>
      <c r="C40" s="25">
        <v>1</v>
      </c>
      <c r="D40" s="25">
        <v>1</v>
      </c>
      <c r="E40" s="25">
        <v>1</v>
      </c>
      <c r="F40" s="19"/>
    </row>
    <row r="41" spans="1:6" x14ac:dyDescent="0.2">
      <c r="A41" s="19"/>
      <c r="B41" s="31" t="s">
        <v>75</v>
      </c>
      <c r="C41" s="25">
        <v>2</v>
      </c>
      <c r="D41" s="25">
        <v>2</v>
      </c>
      <c r="E41" s="25">
        <v>2</v>
      </c>
      <c r="F41" s="19"/>
    </row>
    <row r="42" spans="1:6" x14ac:dyDescent="0.2">
      <c r="A42" s="19"/>
      <c r="B42" s="31" t="s">
        <v>76</v>
      </c>
      <c r="C42" s="25">
        <v>3</v>
      </c>
      <c r="D42" s="25">
        <v>3</v>
      </c>
      <c r="E42" s="25">
        <v>3</v>
      </c>
      <c r="F42" s="19"/>
    </row>
    <row r="43" spans="1:6" x14ac:dyDescent="0.2">
      <c r="A43" s="19"/>
      <c r="B43" s="31" t="s">
        <v>77</v>
      </c>
      <c r="C43" s="25" t="s">
        <v>14</v>
      </c>
      <c r="D43" s="25" t="s">
        <v>14</v>
      </c>
      <c r="E43" s="25" t="s">
        <v>14</v>
      </c>
      <c r="F43" s="19"/>
    </row>
    <row r="44" spans="1:6" x14ac:dyDescent="0.2">
      <c r="A44" s="19"/>
      <c r="B44" s="31" t="s">
        <v>78</v>
      </c>
      <c r="C44" s="25" t="s">
        <v>15</v>
      </c>
      <c r="D44" s="25" t="s">
        <v>15</v>
      </c>
      <c r="E44" s="25" t="s">
        <v>15</v>
      </c>
      <c r="F44" s="19"/>
    </row>
    <row r="45" spans="1:6" x14ac:dyDescent="0.2">
      <c r="A45" s="19"/>
      <c r="B45" s="31" t="s">
        <v>79</v>
      </c>
      <c r="C45" s="25" t="s">
        <v>16</v>
      </c>
      <c r="D45" s="25" t="s">
        <v>16</v>
      </c>
      <c r="E45" s="25" t="s">
        <v>16</v>
      </c>
      <c r="F45" s="19"/>
    </row>
    <row r="46" spans="1:6" x14ac:dyDescent="0.2">
      <c r="A46" s="19"/>
      <c r="B46" s="19"/>
      <c r="C46" s="27"/>
      <c r="D46" s="27"/>
      <c r="E46" s="27"/>
      <c r="F46" s="19"/>
    </row>
    <row r="47" spans="1:6" ht="25.5" x14ac:dyDescent="0.2">
      <c r="A47" s="21"/>
      <c r="B47" s="20" t="s">
        <v>49</v>
      </c>
      <c r="C47" s="25" t="s">
        <v>19</v>
      </c>
      <c r="D47" s="25" t="s">
        <v>125</v>
      </c>
      <c r="E47" s="28" t="s">
        <v>101</v>
      </c>
      <c r="F47" s="19"/>
    </row>
    <row r="48" spans="1:6" ht="76.5" x14ac:dyDescent="0.2">
      <c r="A48" s="21"/>
      <c r="B48" s="31" t="s">
        <v>50</v>
      </c>
      <c r="C48" s="25" t="s">
        <v>156</v>
      </c>
      <c r="D48" s="25" t="s">
        <v>158</v>
      </c>
      <c r="E48" s="28" t="s">
        <v>157</v>
      </c>
      <c r="F48" s="19"/>
    </row>
    <row r="49" spans="1:6" ht="63.75" x14ac:dyDescent="0.2">
      <c r="A49" s="19"/>
      <c r="B49" s="31" t="s">
        <v>51</v>
      </c>
      <c r="C49" s="25" t="s">
        <v>127</v>
      </c>
      <c r="D49" s="25" t="s">
        <v>128</v>
      </c>
      <c r="E49" s="25" t="s">
        <v>129</v>
      </c>
      <c r="F49" s="19"/>
    </row>
    <row r="50" spans="1:6" ht="76.5" x14ac:dyDescent="0.2">
      <c r="A50" s="19"/>
      <c r="B50" s="31" t="s">
        <v>52</v>
      </c>
      <c r="C50" s="25" t="s">
        <v>130</v>
      </c>
      <c r="D50" s="25" t="s">
        <v>131</v>
      </c>
      <c r="E50" s="25" t="s">
        <v>132</v>
      </c>
      <c r="F50" s="19"/>
    </row>
    <row r="51" spans="1:6" ht="38.25" x14ac:dyDescent="0.2">
      <c r="A51" s="19"/>
      <c r="B51" s="31" t="s">
        <v>80</v>
      </c>
      <c r="C51" s="25" t="s">
        <v>133</v>
      </c>
      <c r="D51" s="25" t="s">
        <v>134</v>
      </c>
      <c r="E51" s="25" t="s">
        <v>135</v>
      </c>
      <c r="F51" s="19"/>
    </row>
    <row r="52" spans="1:6" ht="51" x14ac:dyDescent="0.2">
      <c r="A52" s="19"/>
      <c r="B52" s="31" t="s">
        <v>81</v>
      </c>
      <c r="C52" s="25" t="s">
        <v>151</v>
      </c>
      <c r="D52" s="25" t="s">
        <v>155</v>
      </c>
      <c r="E52" s="25" t="s">
        <v>152</v>
      </c>
      <c r="F52" s="19"/>
    </row>
    <row r="53" spans="1:6" x14ac:dyDescent="0.2">
      <c r="A53" s="19"/>
      <c r="B53" s="19"/>
      <c r="C53" s="27"/>
      <c r="D53" s="27"/>
      <c r="E53" s="27"/>
      <c r="F53" s="19"/>
    </row>
    <row r="54" spans="1:6" ht="25.5" x14ac:dyDescent="0.2">
      <c r="A54" s="19" t="s">
        <v>39</v>
      </c>
      <c r="B54" s="20" t="s">
        <v>53</v>
      </c>
      <c r="C54" s="25" t="s">
        <v>17</v>
      </c>
      <c r="D54" s="25" t="s">
        <v>126</v>
      </c>
      <c r="E54" s="25" t="s">
        <v>102</v>
      </c>
      <c r="F54" s="19"/>
    </row>
    <row r="55" spans="1:6" x14ac:dyDescent="0.2">
      <c r="A55" s="19" t="s">
        <v>36</v>
      </c>
      <c r="B55" s="29" t="s">
        <v>54</v>
      </c>
      <c r="C55" s="30" t="s">
        <v>103</v>
      </c>
      <c r="D55" s="30" t="s">
        <v>104</v>
      </c>
      <c r="E55" s="30" t="s">
        <v>105</v>
      </c>
      <c r="F55" s="19"/>
    </row>
    <row r="56" spans="1:6" x14ac:dyDescent="0.2">
      <c r="A56" s="19"/>
      <c r="B56" s="19"/>
      <c r="C56" s="27"/>
      <c r="D56" s="27"/>
      <c r="E56" s="27"/>
      <c r="F56" s="19"/>
    </row>
    <row r="57" spans="1:6" x14ac:dyDescent="0.2">
      <c r="A57" s="21"/>
      <c r="B57" s="22"/>
      <c r="C57" s="27"/>
      <c r="D57" s="27"/>
      <c r="E57" s="27"/>
      <c r="F57" s="19"/>
    </row>
    <row r="58" spans="1:6" x14ac:dyDescent="0.2">
      <c r="A58" s="21" t="s">
        <v>172</v>
      </c>
      <c r="B58" s="58" t="s">
        <v>173</v>
      </c>
      <c r="C58" s="32" t="s">
        <v>266</v>
      </c>
      <c r="D58" s="32" t="s">
        <v>267</v>
      </c>
      <c r="E58" s="32" t="s">
        <v>268</v>
      </c>
      <c r="F58" s="19"/>
    </row>
    <row r="59" spans="1:6" x14ac:dyDescent="0.2">
      <c r="A59" s="21"/>
      <c r="B59" s="31" t="s">
        <v>174</v>
      </c>
      <c r="C59" s="25"/>
      <c r="D59" s="25"/>
      <c r="E59" s="25"/>
      <c r="F59" s="19"/>
    </row>
    <row r="60" spans="1:6" x14ac:dyDescent="0.2">
      <c r="A60" s="21"/>
      <c r="B60" s="21"/>
      <c r="C60" s="26"/>
      <c r="D60" s="26"/>
      <c r="E60" s="26"/>
      <c r="F60" s="19"/>
    </row>
    <row r="61" spans="1:6" x14ac:dyDescent="0.2">
      <c r="A61" s="21"/>
      <c r="B61" s="31" t="s">
        <v>175</v>
      </c>
      <c r="C61" s="25" t="s">
        <v>153</v>
      </c>
      <c r="D61" s="25" t="s">
        <v>154</v>
      </c>
      <c r="E61" s="25" t="s">
        <v>347</v>
      </c>
      <c r="F61" s="19"/>
    </row>
    <row r="62" spans="1:6" x14ac:dyDescent="0.2">
      <c r="A62" s="19"/>
      <c r="B62" s="31" t="s">
        <v>241</v>
      </c>
      <c r="C62" s="23" t="s">
        <v>176</v>
      </c>
      <c r="D62" s="23" t="s">
        <v>177</v>
      </c>
      <c r="E62" s="23" t="s">
        <v>178</v>
      </c>
      <c r="F62" s="19"/>
    </row>
    <row r="63" spans="1:6" x14ac:dyDescent="0.2">
      <c r="A63" s="19"/>
      <c r="B63" s="31" t="s">
        <v>242</v>
      </c>
      <c r="C63" s="23" t="s">
        <v>179</v>
      </c>
      <c r="D63" s="23" t="s">
        <v>180</v>
      </c>
      <c r="E63" s="23" t="s">
        <v>180</v>
      </c>
      <c r="F63" s="19"/>
    </row>
    <row r="64" spans="1:6" x14ac:dyDescent="0.2">
      <c r="A64" s="19"/>
      <c r="B64" s="31" t="s">
        <v>243</v>
      </c>
      <c r="C64" s="23" t="s">
        <v>181</v>
      </c>
      <c r="D64" s="23" t="s">
        <v>182</v>
      </c>
      <c r="E64" s="23" t="s">
        <v>182</v>
      </c>
      <c r="F64" s="19"/>
    </row>
    <row r="65" spans="1:6" x14ac:dyDescent="0.2">
      <c r="A65" s="19"/>
      <c r="B65" s="31" t="s">
        <v>244</v>
      </c>
      <c r="C65" s="23" t="s">
        <v>183</v>
      </c>
      <c r="D65" s="23" t="s">
        <v>183</v>
      </c>
      <c r="E65" s="23" t="s">
        <v>183</v>
      </c>
      <c r="F65" s="19"/>
    </row>
    <row r="66" spans="1:6" x14ac:dyDescent="0.2">
      <c r="A66" s="19"/>
      <c r="B66" s="31" t="s">
        <v>245</v>
      </c>
      <c r="C66" s="23" t="s">
        <v>184</v>
      </c>
      <c r="D66" s="23" t="s">
        <v>185</v>
      </c>
      <c r="E66" s="23" t="s">
        <v>186</v>
      </c>
      <c r="F66" s="19"/>
    </row>
    <row r="67" spans="1:6" x14ac:dyDescent="0.2">
      <c r="A67" s="19"/>
      <c r="B67" s="31" t="s">
        <v>246</v>
      </c>
      <c r="C67" s="23" t="s">
        <v>187</v>
      </c>
      <c r="D67" s="23" t="s">
        <v>188</v>
      </c>
      <c r="E67" s="23" t="s">
        <v>189</v>
      </c>
      <c r="F67" s="19"/>
    </row>
    <row r="68" spans="1:6" x14ac:dyDescent="0.2">
      <c r="A68" s="19"/>
      <c r="B68" s="31" t="s">
        <v>247</v>
      </c>
      <c r="C68" s="23" t="s">
        <v>190</v>
      </c>
      <c r="D68" s="23" t="s">
        <v>191</v>
      </c>
      <c r="E68" s="23" t="s">
        <v>192</v>
      </c>
      <c r="F68" s="19"/>
    </row>
    <row r="69" spans="1:6" x14ac:dyDescent="0.2">
      <c r="A69" s="19"/>
      <c r="B69" s="31" t="s">
        <v>248</v>
      </c>
      <c r="C69" s="23" t="s">
        <v>193</v>
      </c>
      <c r="D69" s="23" t="s">
        <v>194</v>
      </c>
      <c r="E69" s="23" t="s">
        <v>195</v>
      </c>
      <c r="F69" s="19"/>
    </row>
    <row r="70" spans="1:6" x14ac:dyDescent="0.2">
      <c r="A70" s="19"/>
      <c r="B70" s="31" t="s">
        <v>249</v>
      </c>
      <c r="C70" s="23" t="s">
        <v>196</v>
      </c>
      <c r="D70" s="23" t="s">
        <v>196</v>
      </c>
      <c r="E70" s="23" t="s">
        <v>197</v>
      </c>
      <c r="F70" s="19"/>
    </row>
    <row r="71" spans="1:6" x14ac:dyDescent="0.2">
      <c r="A71" s="19"/>
      <c r="B71" s="31" t="s">
        <v>250</v>
      </c>
      <c r="C71" s="23" t="s">
        <v>198</v>
      </c>
      <c r="D71" s="23" t="s">
        <v>199</v>
      </c>
      <c r="E71" s="23" t="s">
        <v>200</v>
      </c>
      <c r="F71" s="19"/>
    </row>
    <row r="72" spans="1:6" x14ac:dyDescent="0.2">
      <c r="A72" s="19"/>
      <c r="B72" s="31" t="s">
        <v>251</v>
      </c>
      <c r="C72" s="23" t="s">
        <v>201</v>
      </c>
      <c r="D72" s="23" t="s">
        <v>202</v>
      </c>
      <c r="E72" s="23" t="s">
        <v>203</v>
      </c>
      <c r="F72" s="19"/>
    </row>
    <row r="73" spans="1:6" x14ac:dyDescent="0.2">
      <c r="A73" s="19"/>
      <c r="B73" s="31" t="s">
        <v>252</v>
      </c>
      <c r="C73" s="23" t="s">
        <v>204</v>
      </c>
      <c r="D73" s="23" t="s">
        <v>205</v>
      </c>
      <c r="E73" s="23" t="s">
        <v>206</v>
      </c>
      <c r="F73" s="19"/>
    </row>
    <row r="74" spans="1:6" x14ac:dyDescent="0.2">
      <c r="A74" s="19"/>
      <c r="B74" s="31" t="s">
        <v>253</v>
      </c>
      <c r="C74" s="23" t="s">
        <v>207</v>
      </c>
      <c r="D74" s="23" t="s">
        <v>208</v>
      </c>
      <c r="E74" s="23" t="s">
        <v>209</v>
      </c>
      <c r="F74" s="19"/>
    </row>
    <row r="75" spans="1:6" x14ac:dyDescent="0.2">
      <c r="A75" s="19"/>
      <c r="B75" s="31" t="s">
        <v>254</v>
      </c>
      <c r="C75" s="23" t="s">
        <v>210</v>
      </c>
      <c r="D75" s="23" t="s">
        <v>211</v>
      </c>
      <c r="E75" s="23" t="s">
        <v>212</v>
      </c>
      <c r="F75" s="19"/>
    </row>
    <row r="76" spans="1:6" x14ac:dyDescent="0.2">
      <c r="A76" s="19"/>
      <c r="B76" s="31" t="s">
        <v>255</v>
      </c>
      <c r="C76" s="23" t="s">
        <v>213</v>
      </c>
      <c r="D76" s="23" t="s">
        <v>214</v>
      </c>
      <c r="E76" s="23" t="s">
        <v>215</v>
      </c>
      <c r="F76" s="19"/>
    </row>
    <row r="77" spans="1:6" x14ac:dyDescent="0.2">
      <c r="A77" s="19"/>
      <c r="B77" s="31" t="s">
        <v>256</v>
      </c>
      <c r="C77" s="23" t="s">
        <v>216</v>
      </c>
      <c r="D77" s="23" t="s">
        <v>217</v>
      </c>
      <c r="E77" s="23" t="s">
        <v>218</v>
      </c>
      <c r="F77" s="19"/>
    </row>
    <row r="78" spans="1:6" x14ac:dyDescent="0.2">
      <c r="A78" s="19"/>
      <c r="B78" s="31" t="s">
        <v>270</v>
      </c>
      <c r="C78" s="23" t="s">
        <v>219</v>
      </c>
      <c r="D78" s="23" t="s">
        <v>220</v>
      </c>
      <c r="E78" s="23" t="s">
        <v>221</v>
      </c>
      <c r="F78" s="19"/>
    </row>
    <row r="79" spans="1:6" x14ac:dyDescent="0.2">
      <c r="A79" s="19"/>
      <c r="B79" s="31" t="s">
        <v>257</v>
      </c>
      <c r="C79" s="23" t="s">
        <v>146</v>
      </c>
      <c r="D79" s="23" t="s">
        <v>148</v>
      </c>
      <c r="E79" s="23" t="s">
        <v>150</v>
      </c>
      <c r="F79" s="19"/>
    </row>
    <row r="80" spans="1:6" x14ac:dyDescent="0.2">
      <c r="A80" s="19"/>
      <c r="B80" s="31" t="s">
        <v>258</v>
      </c>
      <c r="C80" s="23" t="s">
        <v>222</v>
      </c>
      <c r="D80" s="23" t="s">
        <v>223</v>
      </c>
      <c r="E80" s="23" t="s">
        <v>223</v>
      </c>
      <c r="F80" s="19"/>
    </row>
    <row r="81" spans="1:6" x14ac:dyDescent="0.2">
      <c r="A81" s="19"/>
      <c r="B81" s="31" t="s">
        <v>259</v>
      </c>
      <c r="C81" s="23" t="s">
        <v>224</v>
      </c>
      <c r="D81" s="23" t="s">
        <v>225</v>
      </c>
      <c r="E81" s="23" t="s">
        <v>225</v>
      </c>
      <c r="F81" s="19"/>
    </row>
    <row r="82" spans="1:6" x14ac:dyDescent="0.2">
      <c r="A82" s="19"/>
      <c r="B82" s="31" t="s">
        <v>260</v>
      </c>
      <c r="C82" s="23" t="s">
        <v>226</v>
      </c>
      <c r="D82" s="23" t="s">
        <v>226</v>
      </c>
      <c r="E82" s="23" t="s">
        <v>227</v>
      </c>
      <c r="F82" s="19"/>
    </row>
    <row r="83" spans="1:6" x14ac:dyDescent="0.2">
      <c r="A83" s="19"/>
      <c r="B83" s="31" t="s">
        <v>261</v>
      </c>
      <c r="C83" s="23" t="s">
        <v>228</v>
      </c>
      <c r="D83" s="23" t="s">
        <v>229</v>
      </c>
      <c r="E83" s="23" t="s">
        <v>230</v>
      </c>
      <c r="F83" s="19"/>
    </row>
    <row r="84" spans="1:6" x14ac:dyDescent="0.2">
      <c r="A84" s="19"/>
      <c r="B84" s="31" t="s">
        <v>262</v>
      </c>
      <c r="C84" s="23" t="s">
        <v>231</v>
      </c>
      <c r="D84" s="23" t="s">
        <v>232</v>
      </c>
      <c r="E84" s="23" t="s">
        <v>233</v>
      </c>
      <c r="F84" s="19"/>
    </row>
    <row r="85" spans="1:6" x14ac:dyDescent="0.2">
      <c r="A85" s="19"/>
      <c r="B85" s="31" t="s">
        <v>263</v>
      </c>
      <c r="C85" s="23" t="s">
        <v>234</v>
      </c>
      <c r="D85" s="23" t="s">
        <v>235</v>
      </c>
      <c r="E85" s="23" t="s">
        <v>235</v>
      </c>
      <c r="F85" s="19"/>
    </row>
    <row r="86" spans="1:6" x14ac:dyDescent="0.2">
      <c r="A86" s="19"/>
      <c r="B86" s="31" t="s">
        <v>264</v>
      </c>
      <c r="C86" s="23" t="s">
        <v>236</v>
      </c>
      <c r="D86" s="23" t="s">
        <v>237</v>
      </c>
      <c r="E86" s="23" t="s">
        <v>238</v>
      </c>
      <c r="F86" s="19"/>
    </row>
    <row r="87" spans="1:6" x14ac:dyDescent="0.2">
      <c r="A87" s="21"/>
      <c r="B87" s="31" t="s">
        <v>265</v>
      </c>
      <c r="C87" s="23" t="s">
        <v>239</v>
      </c>
      <c r="D87" s="23" t="s">
        <v>240</v>
      </c>
      <c r="E87" s="23" t="s">
        <v>240</v>
      </c>
      <c r="F87" s="19"/>
    </row>
    <row r="88" spans="1:6" x14ac:dyDescent="0.2">
      <c r="A88" s="19"/>
      <c r="B88" s="19"/>
      <c r="C88" s="27"/>
      <c r="D88" s="27"/>
      <c r="E88" s="27"/>
      <c r="F88" s="19"/>
    </row>
    <row r="89" spans="1:6" x14ac:dyDescent="0.2">
      <c r="A89" s="21"/>
      <c r="B89" s="22"/>
      <c r="C89" s="27"/>
      <c r="D89" s="27"/>
      <c r="E89" s="27"/>
      <c r="F89" s="19"/>
    </row>
    <row r="90" spans="1:6" ht="25.5" x14ac:dyDescent="0.2">
      <c r="A90" s="21" t="s">
        <v>271</v>
      </c>
      <c r="B90" s="58" t="s">
        <v>272</v>
      </c>
      <c r="C90" s="32" t="s">
        <v>307</v>
      </c>
      <c r="D90" s="32" t="s">
        <v>308</v>
      </c>
      <c r="E90" s="32" t="s">
        <v>306</v>
      </c>
      <c r="F90" s="19"/>
    </row>
    <row r="91" spans="1:6" x14ac:dyDescent="0.2">
      <c r="A91" s="21"/>
      <c r="B91" s="31" t="s">
        <v>273</v>
      </c>
      <c r="C91" s="25"/>
      <c r="D91" s="25"/>
      <c r="E91" s="25"/>
      <c r="F91" s="19"/>
    </row>
    <row r="92" spans="1:6" x14ac:dyDescent="0.2">
      <c r="A92" s="21"/>
      <c r="B92" s="21"/>
      <c r="C92" s="26"/>
      <c r="D92" s="26"/>
      <c r="E92" s="26"/>
      <c r="F92" s="19"/>
    </row>
    <row r="93" spans="1:6" ht="25.5" x14ac:dyDescent="0.2">
      <c r="A93" s="21"/>
      <c r="B93" s="31" t="s">
        <v>274</v>
      </c>
      <c r="C93" s="25" t="s">
        <v>0</v>
      </c>
      <c r="D93" s="25" t="s">
        <v>0</v>
      </c>
      <c r="E93" s="25" t="s">
        <v>41</v>
      </c>
      <c r="F93" s="19"/>
    </row>
    <row r="94" spans="1:6" ht="25.5" x14ac:dyDescent="0.2">
      <c r="A94" s="21"/>
      <c r="B94" s="31" t="s">
        <v>275</v>
      </c>
      <c r="C94" s="25" t="s">
        <v>312</v>
      </c>
      <c r="D94" s="25" t="s">
        <v>329</v>
      </c>
      <c r="E94" s="25" t="s">
        <v>325</v>
      </c>
      <c r="F94" s="19"/>
    </row>
    <row r="95" spans="1:6" ht="25.5" x14ac:dyDescent="0.2">
      <c r="A95" s="21"/>
      <c r="B95" s="31" t="s">
        <v>276</v>
      </c>
      <c r="C95" s="25" t="s">
        <v>277</v>
      </c>
      <c r="D95" s="25" t="s">
        <v>330</v>
      </c>
      <c r="E95" s="25" t="s">
        <v>314</v>
      </c>
      <c r="F95" s="19"/>
    </row>
    <row r="96" spans="1:6" ht="38.25" x14ac:dyDescent="0.2">
      <c r="A96" s="21"/>
      <c r="B96" s="31" t="s">
        <v>288</v>
      </c>
      <c r="C96" s="25" t="s">
        <v>278</v>
      </c>
      <c r="D96" s="25" t="s">
        <v>335</v>
      </c>
      <c r="E96" s="25" t="s">
        <v>315</v>
      </c>
      <c r="F96" s="19"/>
    </row>
    <row r="97" spans="1:6" ht="25.5" x14ac:dyDescent="0.2">
      <c r="A97" s="21"/>
      <c r="B97" s="31" t="s">
        <v>289</v>
      </c>
      <c r="C97" s="25" t="s">
        <v>279</v>
      </c>
      <c r="D97" s="25" t="s">
        <v>331</v>
      </c>
      <c r="E97" s="25" t="s">
        <v>316</v>
      </c>
      <c r="F97" s="19"/>
    </row>
    <row r="98" spans="1:6" ht="38.25" x14ac:dyDescent="0.2">
      <c r="A98" s="21"/>
      <c r="B98" s="31" t="s">
        <v>290</v>
      </c>
      <c r="C98" s="25" t="s">
        <v>280</v>
      </c>
      <c r="D98" s="25" t="s">
        <v>332</v>
      </c>
      <c r="E98" s="25" t="s">
        <v>317</v>
      </c>
      <c r="F98" s="19"/>
    </row>
    <row r="99" spans="1:6" ht="25.5" x14ac:dyDescent="0.2">
      <c r="A99" s="21"/>
      <c r="B99" s="31" t="s">
        <v>291</v>
      </c>
      <c r="C99" s="25" t="s">
        <v>281</v>
      </c>
      <c r="D99" s="25" t="s">
        <v>336</v>
      </c>
      <c r="E99" s="25" t="s">
        <v>318</v>
      </c>
      <c r="F99" s="19"/>
    </row>
    <row r="100" spans="1:6" ht="25.5" x14ac:dyDescent="0.2">
      <c r="A100" s="21"/>
      <c r="B100" s="31" t="s">
        <v>292</v>
      </c>
      <c r="C100" s="25" t="s">
        <v>282</v>
      </c>
      <c r="D100" s="25" t="s">
        <v>337</v>
      </c>
      <c r="E100" s="25" t="s">
        <v>319</v>
      </c>
      <c r="F100" s="19"/>
    </row>
    <row r="101" spans="1:6" ht="38.25" x14ac:dyDescent="0.2">
      <c r="A101" s="21"/>
      <c r="B101" s="31" t="s">
        <v>293</v>
      </c>
      <c r="C101" s="25" t="s">
        <v>283</v>
      </c>
      <c r="D101" s="25" t="s">
        <v>338</v>
      </c>
      <c r="E101" s="25" t="s">
        <v>320</v>
      </c>
      <c r="F101" s="19"/>
    </row>
    <row r="102" spans="1:6" ht="38.25" x14ac:dyDescent="0.2">
      <c r="A102" s="21"/>
      <c r="B102" s="31" t="s">
        <v>294</v>
      </c>
      <c r="C102" s="25" t="s">
        <v>284</v>
      </c>
      <c r="D102" s="25" t="s">
        <v>333</v>
      </c>
      <c r="E102" s="25" t="s">
        <v>321</v>
      </c>
      <c r="F102" s="19"/>
    </row>
    <row r="103" spans="1:6" ht="25.5" x14ac:dyDescent="0.2">
      <c r="A103" s="21"/>
      <c r="B103" s="31" t="s">
        <v>295</v>
      </c>
      <c r="C103" s="25" t="s">
        <v>285</v>
      </c>
      <c r="D103" s="25" t="s">
        <v>334</v>
      </c>
      <c r="E103" s="25" t="s">
        <v>322</v>
      </c>
      <c r="F103" s="19"/>
    </row>
    <row r="104" spans="1:6" ht="25.5" x14ac:dyDescent="0.2">
      <c r="A104" s="21"/>
      <c r="B104" s="31" t="s">
        <v>296</v>
      </c>
      <c r="C104" s="25" t="s">
        <v>286</v>
      </c>
      <c r="D104" s="25" t="s">
        <v>340</v>
      </c>
      <c r="E104" s="25" t="s">
        <v>323</v>
      </c>
      <c r="F104" s="19"/>
    </row>
    <row r="105" spans="1:6" ht="25.5" x14ac:dyDescent="0.2">
      <c r="A105" s="21"/>
      <c r="B105" s="31" t="s">
        <v>297</v>
      </c>
      <c r="C105" s="25" t="s">
        <v>287</v>
      </c>
      <c r="D105" s="25" t="s">
        <v>339</v>
      </c>
      <c r="E105" s="25" t="s">
        <v>324</v>
      </c>
      <c r="F105" s="19"/>
    </row>
    <row r="106" spans="1:6" ht="25.5" x14ac:dyDescent="0.2">
      <c r="A106" s="21"/>
      <c r="B106" s="31" t="s">
        <v>298</v>
      </c>
      <c r="C106" s="25" t="s">
        <v>0</v>
      </c>
      <c r="D106" s="25" t="s">
        <v>0</v>
      </c>
      <c r="E106" s="25" t="s">
        <v>41</v>
      </c>
      <c r="F106" s="19"/>
    </row>
    <row r="107" spans="1:6" ht="25.5" x14ac:dyDescent="0.2">
      <c r="A107" s="21"/>
      <c r="B107" s="31" t="s">
        <v>299</v>
      </c>
      <c r="C107" s="25" t="s">
        <v>346</v>
      </c>
      <c r="D107" s="25" t="s">
        <v>123</v>
      </c>
      <c r="E107" s="25" t="s">
        <v>100</v>
      </c>
      <c r="F107" s="19"/>
    </row>
    <row r="108" spans="1:6" ht="25.5" x14ac:dyDescent="0.2">
      <c r="A108" s="21"/>
      <c r="B108" s="31" t="s">
        <v>300</v>
      </c>
      <c r="C108" s="25" t="s">
        <v>303</v>
      </c>
      <c r="D108" s="25" t="s">
        <v>341</v>
      </c>
      <c r="E108" s="25" t="s">
        <v>326</v>
      </c>
      <c r="F108" s="19"/>
    </row>
    <row r="109" spans="1:6" ht="25.5" x14ac:dyDescent="0.2">
      <c r="A109" s="21"/>
      <c r="B109" s="31" t="s">
        <v>301</v>
      </c>
      <c r="C109" s="25" t="s">
        <v>304</v>
      </c>
      <c r="D109" s="25" t="s">
        <v>342</v>
      </c>
      <c r="E109" s="25" t="s">
        <v>327</v>
      </c>
      <c r="F109" s="19"/>
    </row>
    <row r="110" spans="1:6" ht="25.5" x14ac:dyDescent="0.2">
      <c r="A110" s="21"/>
      <c r="B110" s="31" t="s">
        <v>302</v>
      </c>
      <c r="C110" s="25" t="s">
        <v>21</v>
      </c>
      <c r="D110" s="25" t="s">
        <v>344</v>
      </c>
      <c r="E110" s="25" t="s">
        <v>328</v>
      </c>
      <c r="F110" s="19"/>
    </row>
    <row r="111" spans="1:6" ht="25.5" x14ac:dyDescent="0.2">
      <c r="A111" s="21"/>
      <c r="B111" s="31" t="s">
        <v>345</v>
      </c>
      <c r="C111" s="25" t="s">
        <v>305</v>
      </c>
      <c r="D111" s="25" t="s">
        <v>343</v>
      </c>
      <c r="E111" s="25" t="s">
        <v>324</v>
      </c>
      <c r="F111" s="19"/>
    </row>
    <row r="112" spans="1:6" x14ac:dyDescent="0.2">
      <c r="A112" s="19"/>
      <c r="B112" s="19"/>
      <c r="C112" s="27"/>
      <c r="D112" s="27"/>
      <c r="E112" s="27"/>
      <c r="F112" s="19"/>
    </row>
    <row r="113" spans="1:6" ht="51" customHeight="1" x14ac:dyDescent="0.2">
      <c r="A113" s="19"/>
      <c r="B113" s="31" t="s">
        <v>309</v>
      </c>
      <c r="C113" s="25" t="s">
        <v>310</v>
      </c>
      <c r="D113" s="25" t="s">
        <v>311</v>
      </c>
      <c r="E113" s="25" t="s">
        <v>313</v>
      </c>
      <c r="F113" s="19"/>
    </row>
    <row r="114" spans="1:6" ht="51" customHeight="1" x14ac:dyDescent="0.2">
      <c r="A114" s="19"/>
      <c r="B114" s="31"/>
      <c r="C114" s="25"/>
      <c r="D114" s="25"/>
      <c r="E114" s="25"/>
      <c r="F114" s="19"/>
    </row>
    <row r="115" spans="1:6" x14ac:dyDescent="0.2">
      <c r="A115" s="21"/>
      <c r="B115" s="22"/>
      <c r="C115" s="27"/>
      <c r="D115" s="27"/>
      <c r="E115" s="27"/>
      <c r="F115" s="19"/>
    </row>
    <row r="116" spans="1:6" x14ac:dyDescent="0.2">
      <c r="A116" s="21" t="s">
        <v>348</v>
      </c>
      <c r="B116" s="58" t="s">
        <v>349</v>
      </c>
      <c r="C116" s="32" t="s">
        <v>402</v>
      </c>
      <c r="D116" s="32" t="s">
        <v>267</v>
      </c>
      <c r="E116" s="32" t="s">
        <v>268</v>
      </c>
      <c r="F116" s="19"/>
    </row>
    <row r="117" spans="1:6" x14ac:dyDescent="0.2">
      <c r="A117" s="21"/>
      <c r="B117" s="31" t="s">
        <v>350</v>
      </c>
      <c r="C117" s="25"/>
      <c r="D117" s="25"/>
      <c r="E117" s="25"/>
      <c r="F117" s="19"/>
    </row>
    <row r="118" spans="1:6" x14ac:dyDescent="0.2">
      <c r="A118" s="21"/>
      <c r="B118" s="21"/>
      <c r="C118" s="26"/>
      <c r="D118" s="26"/>
      <c r="E118" s="26"/>
      <c r="F118" s="19"/>
    </row>
    <row r="119" spans="1:6" ht="25.5" x14ac:dyDescent="0.2">
      <c r="A119" s="21"/>
      <c r="B119" s="31" t="s">
        <v>351</v>
      </c>
      <c r="C119" s="25" t="s">
        <v>0</v>
      </c>
      <c r="D119" s="25" t="s">
        <v>0</v>
      </c>
      <c r="E119" s="25" t="s">
        <v>41</v>
      </c>
      <c r="F119" s="19"/>
    </row>
    <row r="120" spans="1:6" ht="25.5" x14ac:dyDescent="0.2">
      <c r="A120" s="21"/>
      <c r="B120" s="31" t="s">
        <v>352</v>
      </c>
      <c r="C120" s="25" t="s">
        <v>373</v>
      </c>
      <c r="D120" s="25" t="s">
        <v>381</v>
      </c>
      <c r="E120" s="25" t="s">
        <v>399</v>
      </c>
      <c r="F120" s="19"/>
    </row>
    <row r="121" spans="1:6" ht="25.5" x14ac:dyDescent="0.2">
      <c r="A121" s="21"/>
      <c r="B121" s="31" t="s">
        <v>353</v>
      </c>
      <c r="C121" s="25" t="s">
        <v>363</v>
      </c>
      <c r="D121" s="25" t="s">
        <v>382</v>
      </c>
      <c r="E121" s="25" t="s">
        <v>388</v>
      </c>
      <c r="F121" s="19"/>
    </row>
    <row r="122" spans="1:6" ht="25.5" x14ac:dyDescent="0.2">
      <c r="A122" s="21"/>
      <c r="B122" s="31" t="s">
        <v>354</v>
      </c>
      <c r="C122" s="25" t="s">
        <v>364</v>
      </c>
      <c r="D122" s="25" t="s">
        <v>378</v>
      </c>
      <c r="E122" s="25" t="s">
        <v>389</v>
      </c>
      <c r="F122" s="19"/>
    </row>
    <row r="123" spans="1:6" ht="25.5" x14ac:dyDescent="0.2">
      <c r="A123" s="21"/>
      <c r="B123" s="31" t="s">
        <v>355</v>
      </c>
      <c r="C123" s="25" t="s">
        <v>365</v>
      </c>
      <c r="D123" s="25" t="s">
        <v>398</v>
      </c>
      <c r="E123" s="25" t="s">
        <v>390</v>
      </c>
      <c r="F123" s="19"/>
    </row>
    <row r="124" spans="1:6" ht="25.5" x14ac:dyDescent="0.2">
      <c r="A124" s="21"/>
      <c r="B124" s="31" t="s">
        <v>356</v>
      </c>
      <c r="C124" s="25" t="s">
        <v>366</v>
      </c>
      <c r="D124" s="25" t="s">
        <v>383</v>
      </c>
      <c r="E124" s="25" t="s">
        <v>391</v>
      </c>
      <c r="F124" s="19"/>
    </row>
    <row r="125" spans="1:6" ht="25.5" x14ac:dyDescent="0.2">
      <c r="A125" s="21"/>
      <c r="B125" s="31" t="s">
        <v>357</v>
      </c>
      <c r="C125" s="25" t="s">
        <v>367</v>
      </c>
      <c r="D125" s="25" t="s">
        <v>384</v>
      </c>
      <c r="E125" s="25" t="s">
        <v>392</v>
      </c>
      <c r="F125" s="19"/>
    </row>
    <row r="126" spans="1:6" ht="25.5" x14ac:dyDescent="0.2">
      <c r="A126" s="21"/>
      <c r="B126" s="31" t="s">
        <v>358</v>
      </c>
      <c r="C126" s="25" t="s">
        <v>368</v>
      </c>
      <c r="D126" s="25" t="s">
        <v>379</v>
      </c>
      <c r="E126" s="25" t="s">
        <v>393</v>
      </c>
      <c r="F126" s="19"/>
    </row>
    <row r="127" spans="1:6" ht="25.5" x14ac:dyDescent="0.2">
      <c r="A127" s="21"/>
      <c r="B127" s="31" t="s">
        <v>359</v>
      </c>
      <c r="C127" s="25" t="s">
        <v>369</v>
      </c>
      <c r="D127" s="25" t="s">
        <v>385</v>
      </c>
      <c r="E127" s="25" t="s">
        <v>394</v>
      </c>
      <c r="F127" s="19"/>
    </row>
    <row r="128" spans="1:6" ht="25.5" x14ac:dyDescent="0.2">
      <c r="A128" s="21"/>
      <c r="B128" s="31" t="s">
        <v>360</v>
      </c>
      <c r="C128" s="25" t="s">
        <v>370</v>
      </c>
      <c r="D128" s="25" t="s">
        <v>380</v>
      </c>
      <c r="E128" s="25" t="s">
        <v>395</v>
      </c>
      <c r="F128" s="19"/>
    </row>
    <row r="129" spans="1:6" ht="25.5" x14ac:dyDescent="0.2">
      <c r="A129" s="21"/>
      <c r="B129" s="31" t="s">
        <v>361</v>
      </c>
      <c r="C129" s="25" t="s">
        <v>371</v>
      </c>
      <c r="D129" s="25" t="s">
        <v>386</v>
      </c>
      <c r="E129" s="25" t="s">
        <v>396</v>
      </c>
      <c r="F129" s="19"/>
    </row>
    <row r="130" spans="1:6" ht="25.5" x14ac:dyDescent="0.2">
      <c r="A130" s="21"/>
      <c r="B130" s="31" t="s">
        <v>362</v>
      </c>
      <c r="C130" s="25" t="s">
        <v>372</v>
      </c>
      <c r="D130" s="25" t="s">
        <v>387</v>
      </c>
      <c r="E130" s="25" t="s">
        <v>397</v>
      </c>
      <c r="F130" s="19"/>
    </row>
    <row r="131" spans="1:6" x14ac:dyDescent="0.2">
      <c r="A131" s="19"/>
      <c r="B131" s="19"/>
      <c r="C131" s="27"/>
      <c r="D131" s="27"/>
      <c r="E131" s="27"/>
      <c r="F131" s="19"/>
    </row>
    <row r="132" spans="1:6" ht="51" customHeight="1" x14ac:dyDescent="0.2">
      <c r="A132" s="19"/>
      <c r="B132" s="31" t="s">
        <v>374</v>
      </c>
      <c r="C132" s="25" t="s">
        <v>375</v>
      </c>
      <c r="D132" s="25" t="s">
        <v>377</v>
      </c>
      <c r="E132" s="25" t="s">
        <v>376</v>
      </c>
      <c r="F132" s="19"/>
    </row>
    <row r="133" spans="1:6" x14ac:dyDescent="0.2">
      <c r="A133" s="19"/>
      <c r="B133" s="19"/>
      <c r="C133" s="27"/>
      <c r="D133" s="27"/>
      <c r="E133" s="27"/>
      <c r="F133" s="19"/>
    </row>
    <row r="134" spans="1:6" x14ac:dyDescent="0.2">
      <c r="A134" s="21"/>
      <c r="B134" s="22"/>
      <c r="C134" s="27"/>
      <c r="D134" s="27"/>
      <c r="E134" s="27"/>
      <c r="F134" s="19"/>
    </row>
    <row r="135" spans="1:6" ht="25.5" x14ac:dyDescent="0.2">
      <c r="A135" s="21" t="s">
        <v>400</v>
      </c>
      <c r="B135" s="58" t="s">
        <v>401</v>
      </c>
      <c r="C135" s="32" t="s">
        <v>413</v>
      </c>
      <c r="D135" s="32" t="s">
        <v>412</v>
      </c>
      <c r="E135" s="32" t="s">
        <v>414</v>
      </c>
      <c r="F135" s="19"/>
    </row>
    <row r="136" spans="1:6" x14ac:dyDescent="0.2">
      <c r="A136" s="21"/>
      <c r="B136" s="31" t="s">
        <v>404</v>
      </c>
      <c r="C136" s="25"/>
      <c r="D136" s="25"/>
      <c r="E136" s="25"/>
      <c r="F136" s="19"/>
    </row>
    <row r="137" spans="1:6" x14ac:dyDescent="0.2">
      <c r="A137" s="21"/>
      <c r="B137" s="21"/>
      <c r="C137" s="26"/>
      <c r="D137" s="26"/>
      <c r="E137" s="26"/>
      <c r="F137" s="19"/>
    </row>
    <row r="138" spans="1:6" ht="14.25" customHeight="1" x14ac:dyDescent="0.2">
      <c r="A138" s="21"/>
      <c r="B138" s="31" t="s">
        <v>411</v>
      </c>
      <c r="C138" s="25" t="s">
        <v>403</v>
      </c>
      <c r="D138" s="25" t="s">
        <v>409</v>
      </c>
      <c r="E138" s="25" t="s">
        <v>408</v>
      </c>
      <c r="F138" s="19"/>
    </row>
    <row r="139" spans="1:6" x14ac:dyDescent="0.2">
      <c r="A139" s="21"/>
      <c r="B139" s="21"/>
      <c r="C139" s="26"/>
      <c r="D139" s="26"/>
      <c r="E139" s="26"/>
      <c r="F139" s="21"/>
    </row>
    <row r="140" spans="1:6" x14ac:dyDescent="0.2">
      <c r="A140" s="21"/>
      <c r="B140" s="31" t="s">
        <v>410</v>
      </c>
      <c r="C140" s="25" t="s">
        <v>405</v>
      </c>
      <c r="D140" s="25" t="s">
        <v>406</v>
      </c>
      <c r="E140" s="25" t="s">
        <v>407</v>
      </c>
      <c r="F140" s="19"/>
    </row>
    <row r="141" spans="1:6" x14ac:dyDescent="0.2">
      <c r="A141" s="19"/>
      <c r="B141" s="19"/>
      <c r="C141" s="27"/>
      <c r="D141" s="27"/>
      <c r="E141" s="27"/>
      <c r="F141" s="19"/>
    </row>
    <row r="142" spans="1:6" x14ac:dyDescent="0.2">
      <c r="A142" s="21"/>
      <c r="B142" s="22"/>
      <c r="C142" s="27"/>
      <c r="D142" s="27"/>
      <c r="E142" s="27"/>
      <c r="F142" s="19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664148183BA4F90C796CF891D8FC6" ma:contentTypeVersion="6" ma:contentTypeDescription="Ein neues Dokument erstellen." ma:contentTypeScope="" ma:versionID="db62d22baee197049246758ed3a1e933">
  <xsd:schema xmlns:xsd="http://www.w3.org/2001/XMLSchema" xmlns:xs="http://www.w3.org/2001/XMLSchema" xmlns:p="http://schemas.microsoft.com/office/2006/metadata/properties" xmlns:ns1="http://schemas.microsoft.com/sharepoint/v3" xmlns:ns2="1cf2145d-1275-4039-b6f7-fdfb1f53241e" targetNamespace="http://schemas.microsoft.com/office/2006/metadata/properties" ma:root="true" ma:fieldsID="27fc47de3172eb7b5d69e6731a2307e8" ns1:_="" ns2:_="">
    <xsd:import namespace="http://schemas.microsoft.com/sharepoint/v3"/>
    <xsd:import namespace="1cf2145d-1275-4039-b6f7-fdfb1f53241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145d-1275-4039-b6f7-fdfb1f53241e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1cf2145d-1275-4039-b6f7-fdfb1f53241e">1019</Benutzerdefinierte_x0020_ID>
    <Titel_RM xmlns="1cf2145d-1275-4039-b6f7-fdfb1f53241e">Tips da proprietarias e proprietaris dals edifizis, 2022</Titel_RM>
    <PublishingExpirationDate xmlns="http://schemas.microsoft.com/sharepoint/v3" xsi:nil="true"/>
    <PublishingStartDate xmlns="http://schemas.microsoft.com/sharepoint/v3" xsi:nil="true"/>
    <Kategorie xmlns="1cf2145d-1275-4039-b6f7-fdfb1f53241e">Eigentumsverhältnisse der Gebäude</Kategorie>
    <Titel_DE xmlns="1cf2145d-1275-4039-b6f7-fdfb1f53241e">Eigentümertypen der Gebäude, 2022</Titel_DE>
    <Titel_IT xmlns="1cf2145d-1275-4039-b6f7-fdfb1f53241e">Tipi di proprietari degli edifici, 2022</Titel_IT>
  </documentManagement>
</p:properties>
</file>

<file path=customXml/itemProps1.xml><?xml version="1.0" encoding="utf-8"?>
<ds:datastoreItem xmlns:ds="http://schemas.openxmlformats.org/officeDocument/2006/customXml" ds:itemID="{00E38ACE-0FA9-4A50-ADF5-B49EC863BAB1}"/>
</file>

<file path=customXml/itemProps2.xml><?xml version="1.0" encoding="utf-8"?>
<ds:datastoreItem xmlns:ds="http://schemas.openxmlformats.org/officeDocument/2006/customXml" ds:itemID="{E7241956-41A3-40F7-8345-5B66819CC96A}"/>
</file>

<file path=customXml/itemProps3.xml><?xml version="1.0" encoding="utf-8"?>
<ds:datastoreItem xmlns:ds="http://schemas.openxmlformats.org/officeDocument/2006/customXml" ds:itemID="{C5E939C8-7160-4822-9FE9-4BB0D30A18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 GR_CH</vt:lpstr>
      <vt:lpstr>Eigentümteryp</vt:lpstr>
      <vt:lpstr>Wirtschaftszweige</vt:lpstr>
      <vt:lpstr>Rechtsform</vt:lpstr>
      <vt:lpstr>Eigentümertyp Stadt Chur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Eigentümertypen der Gebäude</dc:title>
  <dc:creator>Luzius.Stricker@awt.gr.ch</dc:creator>
  <cp:lastModifiedBy>Stricker Luzius</cp:lastModifiedBy>
  <cp:lastPrinted>2011-02-10T13:58:57Z</cp:lastPrinted>
  <dcterms:created xsi:type="dcterms:W3CDTF">2011-02-10T10:14:18Z</dcterms:created>
  <dcterms:modified xsi:type="dcterms:W3CDTF">2024-03-20T08:20:34Z</dcterms:modified>
  <cp:category>Gebäude- und Wohnungsstatistik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0x010100D4C664148183BA4F90C796CF891D8FC6</vt:lpwstr>
  </property>
</Properties>
</file>